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60" yWindow="105" windowWidth="28860" windowHeight="10485"/>
  </bookViews>
  <sheets>
    <sheet name="Медиаплан_Нижний_Новгород" sheetId="1" r:id="rId1"/>
    <sheet name="МФЦ_г. Владимир" sheetId="3" r:id="rId2"/>
    <sheet name="МФЦ_г. Киров" sheetId="4" r:id="rId3"/>
  </sheets>
  <definedNames>
    <definedName name="_xlnm.Print_Area" localSheetId="0">Медиаплан_Нижний_Новгород!$A$1:$AS$35</definedName>
    <definedName name="_xlnm.Print_Area" localSheetId="1">'МФЦ_г. Владимир'!$A$1:$AU$19</definedName>
    <definedName name="_xlnm.Print_Area" localSheetId="2">'МФЦ_г. Киров'!$A$1:$AU$33</definedName>
  </definedNames>
  <calcPr calcId="125725"/>
</workbook>
</file>

<file path=xl/calcChain.xml><?xml version="1.0" encoding="utf-8"?>
<calcChain xmlns="http://schemas.openxmlformats.org/spreadsheetml/2006/main">
  <c r="AN32" i="4"/>
  <c r="AI32"/>
  <c r="S32" s="1"/>
  <c r="AB32"/>
  <c r="Y32"/>
  <c r="W32"/>
  <c r="V32" s="1"/>
  <c r="U32"/>
  <c r="Q32"/>
  <c r="M32"/>
  <c r="R32" s="1"/>
  <c r="AN31"/>
  <c r="AI31"/>
  <c r="S31" s="1"/>
  <c r="AB31"/>
  <c r="Y31"/>
  <c r="W31"/>
  <c r="V31" s="1"/>
  <c r="U31"/>
  <c r="R31"/>
  <c r="Q31"/>
  <c r="M31"/>
  <c r="AU31" s="1"/>
  <c r="AN30"/>
  <c r="AI30"/>
  <c r="S30" s="1"/>
  <c r="AB30"/>
  <c r="Y30"/>
  <c r="W30"/>
  <c r="V30" s="1"/>
  <c r="U30"/>
  <c r="Q30"/>
  <c r="M30"/>
  <c r="AU30" s="1"/>
  <c r="AN29"/>
  <c r="AI29"/>
  <c r="S29" s="1"/>
  <c r="AB29"/>
  <c r="Y29"/>
  <c r="W29"/>
  <c r="V29" s="1"/>
  <c r="U29"/>
  <c r="R29"/>
  <c r="Q29"/>
  <c r="M29"/>
  <c r="AU29" s="1"/>
  <c r="AN28"/>
  <c r="AI28"/>
  <c r="AB28"/>
  <c r="U28" s="1"/>
  <c r="Y28"/>
  <c r="Q28"/>
  <c r="M28"/>
  <c r="R28" s="1"/>
  <c r="AN27"/>
  <c r="AI27"/>
  <c r="AB27"/>
  <c r="S27" s="1"/>
  <c r="Y27"/>
  <c r="Q27"/>
  <c r="M27"/>
  <c r="S13"/>
  <c r="S14"/>
  <c r="U13"/>
  <c r="U14"/>
  <c r="W13"/>
  <c r="W14"/>
  <c r="AN24"/>
  <c r="AI24"/>
  <c r="AB24"/>
  <c r="Y24"/>
  <c r="W24"/>
  <c r="V24" s="1"/>
  <c r="AO24" s="1"/>
  <c r="AR24" s="1"/>
  <c r="U24"/>
  <c r="T24" s="1"/>
  <c r="S24"/>
  <c r="Q24"/>
  <c r="M24"/>
  <c r="AU24" s="1"/>
  <c r="R30" l="1"/>
  <c r="AU32"/>
  <c r="R24"/>
  <c r="AT24"/>
  <c r="AO31"/>
  <c r="AR31" s="1"/>
  <c r="AT31" s="1"/>
  <c r="AO30"/>
  <c r="AR30" s="1"/>
  <c r="AT30" s="1"/>
  <c r="T29"/>
  <c r="T32"/>
  <c r="AO32"/>
  <c r="AR32" s="1"/>
  <c r="AT32" s="1"/>
  <c r="AO29"/>
  <c r="AR29" s="1"/>
  <c r="AT29" s="1"/>
  <c r="T31"/>
  <c r="T30"/>
  <c r="T28"/>
  <c r="AU28"/>
  <c r="S28"/>
  <c r="W28"/>
  <c r="V28" s="1"/>
  <c r="AO28" s="1"/>
  <c r="AR28" s="1"/>
  <c r="AT28" s="1"/>
  <c r="R27"/>
  <c r="W27"/>
  <c r="V27" s="1"/>
  <c r="AO27" s="1"/>
  <c r="AR27" s="1"/>
  <c r="AT27" s="1"/>
  <c r="AU27"/>
  <c r="U27"/>
  <c r="T27" s="1"/>
  <c r="Q23"/>
  <c r="Q22"/>
  <c r="Q21"/>
  <c r="Q20"/>
  <c r="Q19"/>
  <c r="Q18"/>
  <c r="Q17"/>
  <c r="Q16"/>
  <c r="Q13"/>
  <c r="Q14"/>
  <c r="Q15"/>
  <c r="S13" i="3"/>
  <c r="S14"/>
  <c r="S15"/>
  <c r="U13"/>
  <c r="U14"/>
  <c r="U15"/>
  <c r="W13"/>
  <c r="W14"/>
  <c r="W15"/>
  <c r="AN23" i="4"/>
  <c r="AI23"/>
  <c r="U23" s="1"/>
  <c r="AB23"/>
  <c r="Y23"/>
  <c r="M23"/>
  <c r="AU23" s="1"/>
  <c r="AN22"/>
  <c r="AI22"/>
  <c r="AB22"/>
  <c r="Y22"/>
  <c r="M22"/>
  <c r="R22" s="1"/>
  <c r="AN21"/>
  <c r="AI21"/>
  <c r="AB21"/>
  <c r="Y21"/>
  <c r="M21"/>
  <c r="AU21" s="1"/>
  <c r="AN20"/>
  <c r="AI20"/>
  <c r="AB20"/>
  <c r="Y20"/>
  <c r="M20"/>
  <c r="AU20" s="1"/>
  <c r="AN19"/>
  <c r="AI19"/>
  <c r="U19" s="1"/>
  <c r="AB19"/>
  <c r="Y19"/>
  <c r="M19"/>
  <c r="AU19" s="1"/>
  <c r="AN18"/>
  <c r="AI18"/>
  <c r="AB18"/>
  <c r="S18" s="1"/>
  <c r="Y18"/>
  <c r="M18"/>
  <c r="AU18" s="1"/>
  <c r="AN17"/>
  <c r="AI17"/>
  <c r="U17" s="1"/>
  <c r="AB17"/>
  <c r="Y17"/>
  <c r="M17"/>
  <c r="AU17" s="1"/>
  <c r="AN16"/>
  <c r="AI16"/>
  <c r="U16" s="1"/>
  <c r="AB16"/>
  <c r="Y16"/>
  <c r="M16"/>
  <c r="AU16" s="1"/>
  <c r="AN15"/>
  <c r="AI15"/>
  <c r="U15" s="1"/>
  <c r="AB15"/>
  <c r="Y15"/>
  <c r="M15"/>
  <c r="AU15" s="1"/>
  <c r="AN14"/>
  <c r="AI14"/>
  <c r="AB14"/>
  <c r="Y14"/>
  <c r="M14"/>
  <c r="AU14" s="1"/>
  <c r="AN13"/>
  <c r="AI13"/>
  <c r="AB13"/>
  <c r="Y13"/>
  <c r="M13"/>
  <c r="AU13" s="1"/>
  <c r="AN18" i="3"/>
  <c r="AI18"/>
  <c r="AB18"/>
  <c r="U18" s="1"/>
  <c r="Y18"/>
  <c r="W18"/>
  <c r="Q18"/>
  <c r="M18"/>
  <c r="AU18" s="1"/>
  <c r="AN17"/>
  <c r="AI17"/>
  <c r="AB17"/>
  <c r="W17" s="1"/>
  <c r="Y17"/>
  <c r="Q17"/>
  <c r="M17"/>
  <c r="AU17" s="1"/>
  <c r="AN16"/>
  <c r="AI16"/>
  <c r="AB16"/>
  <c r="U16" s="1"/>
  <c r="Y16"/>
  <c r="W16"/>
  <c r="Q16"/>
  <c r="M16"/>
  <c r="AU16" s="1"/>
  <c r="AN15"/>
  <c r="AI15"/>
  <c r="AB15"/>
  <c r="Y15"/>
  <c r="Q15"/>
  <c r="R15" s="1"/>
  <c r="M15"/>
  <c r="AU15" s="1"/>
  <c r="AN14"/>
  <c r="AI14"/>
  <c r="AB14"/>
  <c r="Y14"/>
  <c r="Q14"/>
  <c r="M14"/>
  <c r="AU14" s="1"/>
  <c r="AN13"/>
  <c r="AI13"/>
  <c r="AB13"/>
  <c r="Y13"/>
  <c r="Q13"/>
  <c r="M13"/>
  <c r="AU13" s="1"/>
  <c r="R16" i="4" l="1"/>
  <c r="AU22"/>
  <c r="R17"/>
  <c r="R21"/>
  <c r="R20"/>
  <c r="R14"/>
  <c r="R19"/>
  <c r="R18"/>
  <c r="R13"/>
  <c r="R15"/>
  <c r="R23"/>
  <c r="S19"/>
  <c r="S20"/>
  <c r="S21"/>
  <c r="U22"/>
  <c r="T19"/>
  <c r="W22"/>
  <c r="W23"/>
  <c r="V23" s="1"/>
  <c r="AO23" s="1"/>
  <c r="AR23" s="1"/>
  <c r="AT23" s="1"/>
  <c r="W20"/>
  <c r="W21"/>
  <c r="S22"/>
  <c r="T22" s="1"/>
  <c r="S23"/>
  <c r="T23" s="1"/>
  <c r="U18"/>
  <c r="T18" s="1"/>
  <c r="U20"/>
  <c r="T20" s="1"/>
  <c r="U21"/>
  <c r="T21" s="1"/>
  <c r="T18" i="3"/>
  <c r="T13"/>
  <c r="S16"/>
  <c r="T16"/>
  <c r="S18"/>
  <c r="V20" i="4"/>
  <c r="AO20" s="1"/>
  <c r="AR20" s="1"/>
  <c r="AT20" s="1"/>
  <c r="V22"/>
  <c r="AO22" s="1"/>
  <c r="AR22" s="1"/>
  <c r="AT22" s="1"/>
  <c r="T13"/>
  <c r="V13"/>
  <c r="AO13" s="1"/>
  <c r="AR13" s="1"/>
  <c r="AT13" s="1"/>
  <c r="S15"/>
  <c r="T15" s="1"/>
  <c r="W15"/>
  <c r="V15" s="1"/>
  <c r="AO15" s="1"/>
  <c r="AR15" s="1"/>
  <c r="AT15" s="1"/>
  <c r="S16"/>
  <c r="T16" s="1"/>
  <c r="W16"/>
  <c r="V16" s="1"/>
  <c r="AO16" s="1"/>
  <c r="AR16" s="1"/>
  <c r="AT16" s="1"/>
  <c r="S17"/>
  <c r="T17" s="1"/>
  <c r="W17"/>
  <c r="V17" s="1"/>
  <c r="AO17" s="1"/>
  <c r="AR17" s="1"/>
  <c r="AT17" s="1"/>
  <c r="W18"/>
  <c r="V18" s="1"/>
  <c r="AO18" s="1"/>
  <c r="AR18" s="1"/>
  <c r="AT18" s="1"/>
  <c r="W19"/>
  <c r="V19" s="1"/>
  <c r="AO19" s="1"/>
  <c r="AR19" s="1"/>
  <c r="V13" i="3"/>
  <c r="AO13" s="1"/>
  <c r="AR13" s="1"/>
  <c r="AT13" s="1"/>
  <c r="R13"/>
  <c r="R16"/>
  <c r="U17"/>
  <c r="R18"/>
  <c r="V16"/>
  <c r="AO16" s="1"/>
  <c r="AR16" s="1"/>
  <c r="AT16" s="1"/>
  <c r="S17"/>
  <c r="V18"/>
  <c r="AO18" s="1"/>
  <c r="AR18" s="1"/>
  <c r="AT18" s="1"/>
  <c r="R14"/>
  <c r="V14"/>
  <c r="R17"/>
  <c r="T15"/>
  <c r="V21" i="4" l="1"/>
  <c r="AO21" s="1"/>
  <c r="AR21" s="1"/>
  <c r="AT21" s="1"/>
  <c r="V14"/>
  <c r="AO14" s="1"/>
  <c r="AR14" s="1"/>
  <c r="AT14" s="1"/>
  <c r="AT19"/>
  <c r="T14"/>
  <c r="T17" i="3"/>
  <c r="T14"/>
  <c r="AO14"/>
  <c r="AR14" s="1"/>
  <c r="AT14" s="1"/>
  <c r="V15"/>
  <c r="AO15" s="1"/>
  <c r="AR15" s="1"/>
  <c r="AT15" s="1"/>
  <c r="V17"/>
  <c r="AO17" s="1"/>
  <c r="AR17" s="1"/>
  <c r="AT17" s="1"/>
  <c r="O13" i="1" l="1"/>
  <c r="O14"/>
  <c r="K13" l="1"/>
  <c r="AM13" s="1"/>
  <c r="W13"/>
  <c r="Z13"/>
  <c r="AG13"/>
  <c r="AL13"/>
  <c r="K14"/>
  <c r="W14"/>
  <c r="Z14"/>
  <c r="AG14"/>
  <c r="AL14"/>
  <c r="K15"/>
  <c r="O15"/>
  <c r="W15"/>
  <c r="Z15"/>
  <c r="AG15"/>
  <c r="AL15"/>
  <c r="K16"/>
  <c r="O16"/>
  <c r="W16"/>
  <c r="Z16"/>
  <c r="AG16"/>
  <c r="AL16"/>
  <c r="K17"/>
  <c r="O17"/>
  <c r="W17"/>
  <c r="Z17"/>
  <c r="AG17"/>
  <c r="AL17"/>
  <c r="K18"/>
  <c r="O18"/>
  <c r="W18"/>
  <c r="Z18"/>
  <c r="AG18"/>
  <c r="AL18"/>
  <c r="K19"/>
  <c r="O19"/>
  <c r="W19"/>
  <c r="Z19"/>
  <c r="AG19"/>
  <c r="AL19"/>
  <c r="K20"/>
  <c r="O20"/>
  <c r="W20"/>
  <c r="Z20"/>
  <c r="AG20"/>
  <c r="AL20"/>
  <c r="K21"/>
  <c r="O21"/>
  <c r="W21"/>
  <c r="Z21"/>
  <c r="AG21"/>
  <c r="AL21"/>
  <c r="K22"/>
  <c r="O22"/>
  <c r="W22"/>
  <c r="Z22"/>
  <c r="AG22"/>
  <c r="AL22"/>
  <c r="K23"/>
  <c r="O23"/>
  <c r="W23"/>
  <c r="Z23"/>
  <c r="AG23"/>
  <c r="AL23"/>
  <c r="K24"/>
  <c r="O24"/>
  <c r="W24"/>
  <c r="Z24"/>
  <c r="AG24"/>
  <c r="AL24"/>
  <c r="K25"/>
  <c r="O25"/>
  <c r="W25"/>
  <c r="Z25"/>
  <c r="AG25"/>
  <c r="AL25"/>
  <c r="K26"/>
  <c r="O26"/>
  <c r="W26"/>
  <c r="Z26"/>
  <c r="AG26"/>
  <c r="AL26"/>
  <c r="K27"/>
  <c r="O27"/>
  <c r="W27"/>
  <c r="Z27"/>
  <c r="AG27"/>
  <c r="AL27"/>
  <c r="K28"/>
  <c r="O28"/>
  <c r="W28"/>
  <c r="Z28"/>
  <c r="AG28"/>
  <c r="AL28"/>
  <c r="K29"/>
  <c r="O29"/>
  <c r="W29"/>
  <c r="Z29"/>
  <c r="AG29"/>
  <c r="AL29"/>
  <c r="K30"/>
  <c r="O30"/>
  <c r="W30"/>
  <c r="Z30"/>
  <c r="AG30"/>
  <c r="AL30"/>
  <c r="K31"/>
  <c r="O31"/>
  <c r="W31"/>
  <c r="Z31"/>
  <c r="AG31"/>
  <c r="AL31"/>
  <c r="K32"/>
  <c r="O32"/>
  <c r="W32"/>
  <c r="Z32"/>
  <c r="AG32"/>
  <c r="AL32"/>
  <c r="K33"/>
  <c r="O33"/>
  <c r="W33"/>
  <c r="Z33"/>
  <c r="AG33"/>
  <c r="AL33"/>
  <c r="K34"/>
  <c r="O34"/>
  <c r="W34"/>
  <c r="Z34"/>
  <c r="AG34"/>
  <c r="AL34"/>
  <c r="K35"/>
  <c r="O35"/>
  <c r="W35"/>
  <c r="Z35"/>
  <c r="AG35"/>
  <c r="AL35"/>
  <c r="AS24" l="1"/>
  <c r="AM24"/>
  <c r="AS27"/>
  <c r="AM27"/>
  <c r="AS16"/>
  <c r="AM16"/>
  <c r="AS35"/>
  <c r="AM35"/>
  <c r="AS23"/>
  <c r="AM23"/>
  <c r="AS19"/>
  <c r="AM19"/>
  <c r="AS22"/>
  <c r="AM22"/>
  <c r="AS28"/>
  <c r="AM28"/>
  <c r="AS31"/>
  <c r="AM31"/>
  <c r="AS15"/>
  <c r="AM15"/>
  <c r="AS30"/>
  <c r="AM30"/>
  <c r="AS14"/>
  <c r="AM14"/>
  <c r="AS20"/>
  <c r="AM20"/>
  <c r="AS17"/>
  <c r="AM17"/>
  <c r="AS32"/>
  <c r="AM32"/>
  <c r="AS34"/>
  <c r="AM34"/>
  <c r="AS26"/>
  <c r="AM26"/>
  <c r="AS18"/>
  <c r="AM18"/>
  <c r="AS33"/>
  <c r="AM33"/>
  <c r="AS29"/>
  <c r="AM29"/>
  <c r="AS25"/>
  <c r="AM25"/>
  <c r="AS21"/>
  <c r="AM21"/>
  <c r="U34"/>
  <c r="U31"/>
  <c r="U15"/>
  <c r="U27"/>
  <c r="U23"/>
  <c r="U20"/>
  <c r="U16"/>
  <c r="U25"/>
  <c r="U21"/>
  <c r="U29"/>
  <c r="U17"/>
  <c r="U22"/>
  <c r="U18"/>
  <c r="U13"/>
  <c r="U30"/>
  <c r="U26"/>
  <c r="U35"/>
  <c r="U14"/>
  <c r="U32"/>
  <c r="U28"/>
  <c r="U24"/>
  <c r="P17"/>
  <c r="P25"/>
  <c r="P15"/>
  <c r="P16"/>
  <c r="U33"/>
  <c r="U19"/>
  <c r="P32"/>
  <c r="P24"/>
  <c r="P13"/>
  <c r="P33"/>
  <c r="P28"/>
  <c r="P26"/>
  <c r="P19"/>
  <c r="P34"/>
  <c r="P31"/>
  <c r="P20"/>
  <c r="Q13"/>
  <c r="P29"/>
  <c r="P21"/>
  <c r="P30"/>
  <c r="AS13"/>
  <c r="P35"/>
  <c r="P27"/>
  <c r="P23"/>
  <c r="P22"/>
  <c r="P18"/>
  <c r="P14"/>
  <c r="Q34"/>
  <c r="Q32"/>
  <c r="Q30"/>
  <c r="Q28"/>
  <c r="Q26"/>
  <c r="Q24"/>
  <c r="Q22"/>
  <c r="Q20"/>
  <c r="Q19"/>
  <c r="Q18"/>
  <c r="Q17"/>
  <c r="Q16"/>
  <c r="Q15"/>
  <c r="Q14"/>
  <c r="Q35"/>
  <c r="Q33"/>
  <c r="Q31"/>
  <c r="Q29"/>
  <c r="Q27"/>
  <c r="Q25"/>
  <c r="Q23"/>
  <c r="Q21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T17" s="1"/>
  <c r="S16"/>
  <c r="S15"/>
  <c r="S14"/>
  <c r="S13"/>
  <c r="T32" l="1"/>
  <c r="AP32" s="1"/>
  <c r="AR32" s="1"/>
  <c r="T30"/>
  <c r="AP30" s="1"/>
  <c r="AR30" s="1"/>
  <c r="T34"/>
  <c r="AP34" s="1"/>
  <c r="AR34" s="1"/>
  <c r="T18"/>
  <c r="AP18" s="1"/>
  <c r="AR18" s="1"/>
  <c r="T33"/>
  <c r="AP33" s="1"/>
  <c r="AR33" s="1"/>
  <c r="T31"/>
  <c r="AP31" s="1"/>
  <c r="AR31" s="1"/>
  <c r="T20"/>
  <c r="AP20" s="1"/>
  <c r="AR20" s="1"/>
  <c r="T29"/>
  <c r="AP29" s="1"/>
  <c r="AR29" s="1"/>
  <c r="T35"/>
  <c r="AP35" s="1"/>
  <c r="AR35" s="1"/>
  <c r="T28"/>
  <c r="AP28" s="1"/>
  <c r="AR28" s="1"/>
  <c r="T19"/>
  <c r="AP19" s="1"/>
  <c r="AR19" s="1"/>
  <c r="R27"/>
  <c r="R28"/>
  <c r="R13"/>
  <c r="R21"/>
  <c r="R29"/>
  <c r="R20"/>
  <c r="R14"/>
  <c r="R22"/>
  <c r="R30"/>
  <c r="T21"/>
  <c r="AP21" s="1"/>
  <c r="AR21" s="1"/>
  <c r="R15"/>
  <c r="R23"/>
  <c r="R31"/>
  <c r="T13"/>
  <c r="AP13" s="1"/>
  <c r="AR13" s="1"/>
  <c r="T22"/>
  <c r="AP22" s="1"/>
  <c r="AR22" s="1"/>
  <c r="R19"/>
  <c r="R35"/>
  <c r="R16"/>
  <c r="R24"/>
  <c r="R32"/>
  <c r="T14"/>
  <c r="AP14" s="1"/>
  <c r="AR14" s="1"/>
  <c r="T23"/>
  <c r="AP23" s="1"/>
  <c r="AR23" s="1"/>
  <c r="R17"/>
  <c r="AP17"/>
  <c r="AR17" s="1"/>
  <c r="R25"/>
  <c r="R33"/>
  <c r="T15"/>
  <c r="AP15" s="1"/>
  <c r="AR15" s="1"/>
  <c r="T25"/>
  <c r="AP25" s="1"/>
  <c r="AR25" s="1"/>
  <c r="T24"/>
  <c r="AP24" s="1"/>
  <c r="AR24" s="1"/>
  <c r="R18"/>
  <c r="R26"/>
  <c r="R34"/>
  <c r="T16"/>
  <c r="AP16" s="1"/>
  <c r="AR16" s="1"/>
  <c r="T26"/>
  <c r="AP26" s="1"/>
  <c r="AR26" s="1"/>
  <c r="T27"/>
  <c r="AP27" s="1"/>
  <c r="AR27" s="1"/>
</calcChain>
</file>

<file path=xl/sharedStrings.xml><?xml version="1.0" encoding="utf-8"?>
<sst xmlns="http://schemas.openxmlformats.org/spreadsheetml/2006/main" count="493" uniqueCount="130">
  <si>
    <t>Длительность ролика, сек</t>
  </si>
  <si>
    <t>Стоимость размещения</t>
  </si>
  <si>
    <t>Скидка</t>
  </si>
  <si>
    <t>Итого</t>
  </si>
  <si>
    <t>Количество выходов в блоке</t>
  </si>
  <si>
    <t>Дата начала трансляции ролика</t>
  </si>
  <si>
    <t>Дата окончания трансляции ролика</t>
  </si>
  <si>
    <t>Количество дней трансляции</t>
  </si>
  <si>
    <t>Показов за период</t>
  </si>
  <si>
    <t>в Нижнем Новгороде</t>
  </si>
  <si>
    <t>Цифровая реклама на мониторах</t>
  </si>
  <si>
    <t>www.port-media.ru</t>
  </si>
  <si>
    <t>sales@port-media.ru</t>
  </si>
  <si>
    <t>50 дюймов,
110 х 65 см</t>
  </si>
  <si>
    <t>Видео</t>
  </si>
  <si>
    <t>OTS (потенциальное количество контактов аудитории с роликом)</t>
  </si>
  <si>
    <t>Фото</t>
  </si>
  <si>
    <t>Карта</t>
  </si>
  <si>
    <t>Режим работы, ч</t>
  </si>
  <si>
    <t>Показов в сутки (средн)</t>
  </si>
  <si>
    <t>Стоимость 1 недели</t>
  </si>
  <si>
    <t>Стоимость 2 недель</t>
  </si>
  <si>
    <t>Стоимость 1 месяца</t>
  </si>
  <si>
    <t>Коэфф хроно ролика</t>
  </si>
  <si>
    <t>Ручная скидка</t>
  </si>
  <si>
    <t>Коэфф кол выходов в блоке</t>
  </si>
  <si>
    <t>Ст-ть дня между 1 и 2 нед</t>
  </si>
  <si>
    <t>Ст-ть дня между 2 нед и мес</t>
  </si>
  <si>
    <t>Множ рек блока</t>
  </si>
  <si>
    <t>Коэф блок 5 мин</t>
  </si>
  <si>
    <t>Коэф блок 10 мин</t>
  </si>
  <si>
    <t>Коэф 5 сек</t>
  </si>
  <si>
    <t>Коэф 10 сек</t>
  </si>
  <si>
    <t>Коэф 15 сек</t>
  </si>
  <si>
    <t>Коэф 20 сек</t>
  </si>
  <si>
    <t>Коэф 25 сек</t>
  </si>
  <si>
    <t>Коэф 30 сек</t>
  </si>
  <si>
    <t>Коэф 1 вых</t>
  </si>
  <si>
    <t>Коэф 2 вых</t>
  </si>
  <si>
    <t>Коэф 3 вых</t>
  </si>
  <si>
    <t>Коэф 4 вых и более</t>
  </si>
  <si>
    <t>CPM (цена за тысячу контактов)</t>
  </si>
  <si>
    <t>24-50 дюймов</t>
  </si>
  <si>
    <t>50 дюймов</t>
  </si>
  <si>
    <t>1280*720 pix
MP4, AVI, WMV</t>
  </si>
  <si>
    <t>Требования к роликам</t>
  </si>
  <si>
    <t>Медиаплан по размещению рекламы на МОНИТОРАХ в аптеках</t>
  </si>
  <si>
    <t>Аптека "Максавит"
г.Нижний Новгород, ул. Звездинка, д.3А</t>
  </si>
  <si>
    <t>8:00-22:00
8:00-20:00 в воскр.</t>
  </si>
  <si>
    <t>Аудитория аптеки / человек, за период</t>
  </si>
  <si>
    <t>Рекламный блок, мин</t>
  </si>
  <si>
    <t>Аптека "Максавит"
г.Нижний Новгород, ул. Родионова, д. 189/24</t>
  </si>
  <si>
    <t>Аптека "Максавит"
г.Нижний Новгород, Казанское шоссе, д.5</t>
  </si>
  <si>
    <t>Аптека "Максавит"
г.Нижний Новгород, ул.Карла Маркса, д.47</t>
  </si>
  <si>
    <t>Аптека "Максавит"
г.Нижний Новгород, пр.Гагарина, д.4</t>
  </si>
  <si>
    <t>8:00-21:00
8:00-20:00 в воскр.</t>
  </si>
  <si>
    <t>Аптека "Максавит"
г.Нижний Новгород, ул.Краснодонцев, д.1</t>
  </si>
  <si>
    <t>Аптека "Максавит"
г.Нижний Новгород, ул.Коминтерна, 4/2</t>
  </si>
  <si>
    <t>Аптека "Максавит"
г.Нижний Новгород, ул.Светлоярская, 24</t>
  </si>
  <si>
    <t>Аптека "Максавит"
г.Нижний Новгород, ул.Рокоссовского, 4</t>
  </si>
  <si>
    <t>Аптека "Максавит"
г.Нижний Новгород, ул.Рокоссовского, 8а</t>
  </si>
  <si>
    <t>Аптека "Максавит"
г.Нижний Новгород, ул.Бекетова, 66</t>
  </si>
  <si>
    <t>Аптека "Максавит"
г.Нижний Новгород, Московское шоссе, 9</t>
  </si>
  <si>
    <t>Аптека "Максавит"
г.Нижний Новгород, ул.Родионова, 195</t>
  </si>
  <si>
    <t>Аптека "Максавит"
г.Нижний Новгород, ул.Культуры 14</t>
  </si>
  <si>
    <t>Аптека "Максавит"
г.Нижний Новгород, ул. Есенина, 41</t>
  </si>
  <si>
    <t>Месторасположение монитора</t>
  </si>
  <si>
    <t>Количество мониторов</t>
  </si>
  <si>
    <t>Аптека "Максавит"
г.Нижний Новгород, ул.Есенина, д.14</t>
  </si>
  <si>
    <t>Аптека "Максавит"
г.Нижний Новгород, ул.Батумская, д.1а</t>
  </si>
  <si>
    <t>фото</t>
  </si>
  <si>
    <t>карта</t>
  </si>
  <si>
    <t>Коор-динаты</t>
  </si>
  <si>
    <t>56.295295, 44.075238</t>
  </si>
  <si>
    <t>56.243990, 43.849132</t>
  </si>
  <si>
    <t>56.354128, 43.832630</t>
  </si>
  <si>
    <t>56.282825, 44.045656</t>
  </si>
  <si>
    <t>56.294346, 44.020961</t>
  </si>
  <si>
    <t>56.302213, 44.079109</t>
  </si>
  <si>
    <t>56.238222, 43.967197</t>
  </si>
  <si>
    <t>56.332940, 43.940203</t>
  </si>
  <si>
    <t>56.305050, 44.078903</t>
  </si>
  <si>
    <t>56.306752, 43.986098</t>
  </si>
  <si>
    <t>56.341513, 43.945979</t>
  </si>
  <si>
    <t>56.336942, 43.884112</t>
  </si>
  <si>
    <t>56.282940, 44.038173</t>
  </si>
  <si>
    <t>56.323548, 43.945287</t>
  </si>
  <si>
    <t>56.348178, 43.855204</t>
  </si>
  <si>
    <t>56.337741, 43.929926</t>
  </si>
  <si>
    <t>56.266522, 43.976620</t>
  </si>
  <si>
    <t>56.314966, 43.994299</t>
  </si>
  <si>
    <t>Аптека "Максавит"
г.Нижний Новгород, мкн.Щербинки-1, д.11</t>
  </si>
  <si>
    <t xml:space="preserve"> - </t>
  </si>
  <si>
    <t>Аптека "Максавит" г. Нижний Новгород, ул. К.Маркса, д.16</t>
  </si>
  <si>
    <t>Аптека "Максавит" г. Нижний Новгород, ул. К.Маркса, д.20</t>
  </si>
  <si>
    <t>Аптека "Максавит" г. Нижний Новгород, пр. Ленина, д.16</t>
  </si>
  <si>
    <t>Аптека "Максавит" г. Нижний Новгород, пл. Революции, д.4</t>
  </si>
  <si>
    <t>Описание</t>
  </si>
  <si>
    <t>Мониторы в аптеках "Максавит"
г.Нижний Новгород, 22 аптеки "Максавит"</t>
  </si>
  <si>
    <t>Размер монитора</t>
  </si>
  <si>
    <t>тел: (831) 435-13-00</t>
  </si>
  <si>
    <t>Медиаплан по размещению рекламы на МОНИТОРАХ в МФЦ Киров</t>
  </si>
  <si>
    <t>Показов в сутки, будни</t>
  </si>
  <si>
    <t>8:00 - 20:00</t>
  </si>
  <si>
    <t>Монитор в МФЦ,
г. Киров, ул.Карла Маркса, 54</t>
  </si>
  <si>
    <t>Монитор в МФЦ,
г.Киров, ул. П.Корчагина 238а</t>
  </si>
  <si>
    <t>43 дюйма</t>
  </si>
  <si>
    <t>Монитор в МФЦ,
г.Киров, ул. Октябрьский пр-кт 24</t>
  </si>
  <si>
    <t>42 дюймов</t>
  </si>
  <si>
    <t>Монитор в МФЦ, 
г.Киров, ул. Октябрьский пр-кт 117</t>
  </si>
  <si>
    <t>43 дюймов</t>
  </si>
  <si>
    <t>Монитор в МФЦ, 
г.Киров, ул.Калинина,2</t>
  </si>
  <si>
    <t>Монитор в МФЦ, 
г.Киров, ул. Упита,13</t>
  </si>
  <si>
    <t>Монитор в МФЦ, 
г.Киров, мкр. Лянгасово, ул.Ленина 10</t>
  </si>
  <si>
    <t>Монитор в МФЦ, 
г.Киров, ул. 4-й Пятилетки 36б</t>
  </si>
  <si>
    <t>Монитор в МФЦ, 
г.Киров, Щорса, 95</t>
  </si>
  <si>
    <t>40 дюймов</t>
  </si>
  <si>
    <t>Монитор в МФЦ,
г. Владимир, Октябрьский пр-т, д. 14;</t>
  </si>
  <si>
    <t>Монитор в МФЦ,
г. Владимир, мкр. Юрьевец, ул. Ноябрьская, д. 8 «А»</t>
  </si>
  <si>
    <t>Медиаплан по размещению рекламы на МОНИТОРАХ в МФЦ г. Владимир</t>
  </si>
  <si>
    <t>3 монитора в 3 МФЦ 
Владимирской области</t>
  </si>
  <si>
    <t>8:00 - 19:00</t>
  </si>
  <si>
    <t>Монитор в МФЦ, Владимирская область, 
г. Ковров, ул. К. Маркса, д. 13а;</t>
  </si>
  <si>
    <t>Монитор в МФЦ, 
г.Киров, Нововятский р-н, ул.Советская, 14</t>
  </si>
  <si>
    <t>4 монитороа в 4 МФЦ 
в Кировской области</t>
  </si>
  <si>
    <t>Монитор в МФЦ, Кировская область,
г. Кирово-Чепецк, ул. Первомайская, 10</t>
  </si>
  <si>
    <t>Монитор в МФЦ, Кировская область,
г. Кирс, ул. Кирова, 16</t>
  </si>
  <si>
    <t>Монитор в МФЦ, Кировская область,
г. Слободской, ул. Советская, д.86</t>
  </si>
  <si>
    <t>Монитор в МФЦ, Кировская область,
г. Вятские Поляны, ул. Гагарина, д.7</t>
  </si>
  <si>
    <t>10 мониторов в 10 МФЦ 
в Кирове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</si>
</sst>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#,##0&quot;р.&quot;"/>
    <numFmt numFmtId="165" formatCode="[$-419]General"/>
    <numFmt numFmtId="166" formatCode="#,##0.0"/>
    <numFmt numFmtId="167" formatCode="_-* #,##0\ _₽_-;\-* #,##0\ _₽_-;_-* &quot;-&quot;??\ _₽_-;_-@_-"/>
  </numFmts>
  <fonts count="10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u/>
      <sz val="11"/>
      <color theme="0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5" fontId="3" fillId="0" borderId="0" applyBorder="0" applyProtection="0"/>
    <xf numFmtId="165" fontId="4" fillId="0" borderId="0" applyBorder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0" fillId="5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9" fontId="0" fillId="5" borderId="1" xfId="0" applyNumberFormat="1" applyFont="1" applyFill="1" applyBorder="1" applyAlignment="1">
      <alignment horizontal="center" vertical="center"/>
    </xf>
    <xf numFmtId="0" fontId="0" fillId="0" borderId="0" xfId="0" applyFont="1"/>
    <xf numFmtId="164" fontId="0" fillId="0" borderId="1" xfId="0" applyNumberFormat="1" applyFont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66" fontId="0" fillId="5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9" fontId="0" fillId="5" borderId="1" xfId="4" applyFont="1" applyFill="1" applyBorder="1" applyAlignment="1">
      <alignment horizontal="center" vertical="center"/>
    </xf>
    <xf numFmtId="0" fontId="6" fillId="0" borderId="0" xfId="0" applyFont="1"/>
    <xf numFmtId="0" fontId="7" fillId="0" borderId="0" xfId="1" applyFont="1" applyAlignment="1" applyProtection="1"/>
    <xf numFmtId="0" fontId="8" fillId="0" borderId="0" xfId="1" applyFont="1" applyAlignment="1" applyProtection="1"/>
    <xf numFmtId="9" fontId="0" fillId="7" borderId="1" xfId="0" applyNumberFormat="1" applyFont="1" applyFill="1" applyBorder="1" applyAlignment="1">
      <alignment horizontal="center" vertical="center"/>
    </xf>
    <xf numFmtId="9" fontId="0" fillId="6" borderId="1" xfId="4" applyFont="1" applyFill="1" applyBorder="1" applyAlignment="1">
      <alignment horizontal="center" vertical="center"/>
    </xf>
    <xf numFmtId="0" fontId="0" fillId="5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/>
    <xf numFmtId="164" fontId="9" fillId="3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0" borderId="0" xfId="0" applyNumberFormat="1"/>
    <xf numFmtId="0" fontId="0" fillId="5" borderId="1" xfId="0" applyFont="1" applyFill="1" applyBorder="1" applyAlignment="1">
      <alignment horizontal="center" vertical="center" wrapText="1"/>
    </xf>
    <xf numFmtId="0" fontId="1" fillId="5" borderId="2" xfId="1" applyFill="1" applyBorder="1" applyAlignment="1" applyProtection="1">
      <alignment horizontal="center" vertical="center" wrapText="1"/>
    </xf>
    <xf numFmtId="0" fontId="1" fillId="5" borderId="1" xfId="1" applyFill="1" applyBorder="1" applyAlignment="1" applyProtection="1">
      <alignment horizontal="center" vertical="center"/>
    </xf>
    <xf numFmtId="164" fontId="9" fillId="9" borderId="1" xfId="0" applyNumberFormat="1" applyFont="1" applyFill="1" applyBorder="1" applyAlignment="1">
      <alignment horizontal="center" vertical="center"/>
    </xf>
    <xf numFmtId="0" fontId="1" fillId="4" borderId="1" xfId="1" applyFill="1" applyBorder="1" applyAlignment="1" applyProtection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1" fillId="4" borderId="1" xfId="1" applyFill="1" applyBorder="1" applyAlignment="1" applyProtection="1">
      <alignment horizontal="center" vertical="center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1" xfId="0" applyFont="1" applyFill="1" applyBorder="1" applyAlignment="1" applyProtection="1">
      <alignment horizontal="center" vertical="center" wrapText="1"/>
    </xf>
    <xf numFmtId="3" fontId="0" fillId="4" borderId="1" xfId="0" applyNumberFormat="1" applyFont="1" applyFill="1" applyBorder="1" applyAlignment="1">
      <alignment horizontal="center" vertical="center"/>
    </xf>
    <xf numFmtId="166" fontId="0" fillId="4" borderId="1" xfId="0" applyNumberFormat="1" applyFont="1" applyFill="1" applyBorder="1" applyAlignment="1">
      <alignment horizontal="center" vertical="center"/>
    </xf>
    <xf numFmtId="9" fontId="0" fillId="4" borderId="1" xfId="4" applyFont="1" applyFill="1" applyBorder="1" applyAlignment="1">
      <alignment horizontal="center" vertical="center"/>
    </xf>
    <xf numFmtId="164" fontId="0" fillId="4" borderId="1" xfId="0" applyNumberFormat="1" applyFont="1" applyFill="1" applyBorder="1" applyAlignment="1">
      <alignment horizontal="center" vertical="center"/>
    </xf>
    <xf numFmtId="0" fontId="1" fillId="4" borderId="1" xfId="1" applyFill="1" applyBorder="1" applyAlignment="1" applyProtection="1">
      <alignment horizontal="left" vertical="center"/>
    </xf>
    <xf numFmtId="14" fontId="0" fillId="6" borderId="1" xfId="0" applyNumberFormat="1" applyFont="1" applyFill="1" applyBorder="1" applyAlignment="1">
      <alignment horizontal="center" vertical="center"/>
    </xf>
    <xf numFmtId="167" fontId="0" fillId="5" borderId="1" xfId="5" applyNumberFormat="1" applyFont="1" applyFill="1" applyBorder="1" applyAlignment="1">
      <alignment horizontal="center" vertical="center"/>
    </xf>
    <xf numFmtId="167" fontId="0" fillId="4" borderId="1" xfId="5" applyNumberFormat="1" applyFon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4" borderId="2" xfId="1" applyFont="1" applyFill="1" applyBorder="1" applyAlignment="1" applyProtection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/>
    </xf>
  </cellXfs>
  <cellStyles count="6">
    <cellStyle name="Excel Built-in Hyperlink" xfId="2"/>
    <cellStyle name="Excel Built-in Normal" xfId="3"/>
    <cellStyle name="Гиперссылка" xfId="1" builtinId="8"/>
    <cellStyle name="Обычный" xfId="0" builtinId="0"/>
    <cellStyle name="Процентный" xfId="4" builtinId="5"/>
    <cellStyle name="Финансовый" xfId="5" builtinId="3"/>
  </cellStyles>
  <dxfs count="5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0</xdr:row>
      <xdr:rowOff>33618</xdr:rowOff>
    </xdr:from>
    <xdr:to>
      <xdr:col>0</xdr:col>
      <xdr:colOff>2434102</xdr:colOff>
      <xdr:row>4</xdr:row>
      <xdr:rowOff>144496</xdr:rowOff>
    </xdr:to>
    <xdr:pic>
      <xdr:nvPicPr>
        <xdr:cNvPr id="2" name="Рисунок 1"/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18" y="33618"/>
          <a:ext cx="2400484" cy="8728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0</xdr:row>
      <xdr:rowOff>33618</xdr:rowOff>
    </xdr:from>
    <xdr:to>
      <xdr:col>0</xdr:col>
      <xdr:colOff>2434102</xdr:colOff>
      <xdr:row>4</xdr:row>
      <xdr:rowOff>144496</xdr:rowOff>
    </xdr:to>
    <xdr:pic>
      <xdr:nvPicPr>
        <xdr:cNvPr id="2" name="Рисунок 1"/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18" y="33618"/>
          <a:ext cx="2400484" cy="872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maps/-/CCQhbQTr-A" TargetMode="External"/><Relationship Id="rId13" Type="http://schemas.openxmlformats.org/officeDocument/2006/relationships/hyperlink" Target="https://yandex.ru/maps/-/CCQhbQHzdC" TargetMode="External"/><Relationship Id="rId18" Type="http://schemas.openxmlformats.org/officeDocument/2006/relationships/hyperlink" Target="https://yandex.ru/maps/-/CCQhbQD4lC" TargetMode="External"/><Relationship Id="rId26" Type="http://schemas.openxmlformats.org/officeDocument/2006/relationships/hyperlink" Target="https://yadi.sk/i/n6fnvfXQOrLUlA" TargetMode="External"/><Relationship Id="rId39" Type="http://schemas.openxmlformats.org/officeDocument/2006/relationships/hyperlink" Target="https://yadi.sk/i/9opx455V4jz2PA" TargetMode="External"/><Relationship Id="rId3" Type="http://schemas.openxmlformats.org/officeDocument/2006/relationships/hyperlink" Target="https://yadi.sk/i/LKApxiEndXc13w" TargetMode="External"/><Relationship Id="rId21" Type="http://schemas.openxmlformats.org/officeDocument/2006/relationships/hyperlink" Target="https://yandex.ru/maps/-/CCQhbQwKdA" TargetMode="External"/><Relationship Id="rId34" Type="http://schemas.openxmlformats.org/officeDocument/2006/relationships/hyperlink" Target="https://yadi.sk/i/yVWOcjtBnjTOfg" TargetMode="External"/><Relationship Id="rId42" Type="http://schemas.openxmlformats.org/officeDocument/2006/relationships/hyperlink" Target="https://yadi.sk/i/WaRoVYSDeEePHQ" TargetMode="External"/><Relationship Id="rId7" Type="http://schemas.openxmlformats.org/officeDocument/2006/relationships/hyperlink" Target="https://yandex.ru/maps/-/CCQhbQX40D" TargetMode="External"/><Relationship Id="rId12" Type="http://schemas.openxmlformats.org/officeDocument/2006/relationships/hyperlink" Target="https://yandex.ru/maps/-/CCQhbQHsKA" TargetMode="External"/><Relationship Id="rId17" Type="http://schemas.openxmlformats.org/officeDocument/2006/relationships/hyperlink" Target="https://yandex.ru/maps/-/CCQhbQDvKC" TargetMode="External"/><Relationship Id="rId25" Type="http://schemas.openxmlformats.org/officeDocument/2006/relationships/hyperlink" Target="https://yadi.sk/i/z1K5ydBnS4INZA" TargetMode="External"/><Relationship Id="rId33" Type="http://schemas.openxmlformats.org/officeDocument/2006/relationships/hyperlink" Target="https://yadi.sk/i/hUzRfZmGL6INPQ" TargetMode="External"/><Relationship Id="rId38" Type="http://schemas.openxmlformats.org/officeDocument/2006/relationships/hyperlink" Target="https://yadi.sk/i/EbPWNDGQm6s19A" TargetMode="External"/><Relationship Id="rId46" Type="http://schemas.openxmlformats.org/officeDocument/2006/relationships/vmlDrawing" Target="../drawings/vmlDrawing1.vml"/><Relationship Id="rId2" Type="http://schemas.openxmlformats.org/officeDocument/2006/relationships/hyperlink" Target="https://yadi.sk/i/EQ074lBhOjQPUA" TargetMode="External"/><Relationship Id="rId16" Type="http://schemas.openxmlformats.org/officeDocument/2006/relationships/hyperlink" Target="https://yandex.ru/maps/-/CCQhbQDs0D" TargetMode="External"/><Relationship Id="rId20" Type="http://schemas.openxmlformats.org/officeDocument/2006/relationships/hyperlink" Target="https://yandex.ru/maps/-/CCQhbQw1tC" TargetMode="External"/><Relationship Id="rId29" Type="http://schemas.openxmlformats.org/officeDocument/2006/relationships/hyperlink" Target="https://yadi.sk/i/0mdOBIQIvzO4ig" TargetMode="External"/><Relationship Id="rId41" Type="http://schemas.openxmlformats.org/officeDocument/2006/relationships/hyperlink" Target="https://yadi.sk/i/jXwE740B-4zqWg" TargetMode="External"/><Relationship Id="rId1" Type="http://schemas.openxmlformats.org/officeDocument/2006/relationships/hyperlink" Target="https://yadi.sk/i/g5b3PeDweUrM4A" TargetMode="External"/><Relationship Id="rId6" Type="http://schemas.openxmlformats.org/officeDocument/2006/relationships/hyperlink" Target="https://yandex.ru/maps/-/CCQhbQXv0A" TargetMode="External"/><Relationship Id="rId11" Type="http://schemas.openxmlformats.org/officeDocument/2006/relationships/hyperlink" Target="https://yandex.ru/maps/-/CCQhbQHpHB" TargetMode="External"/><Relationship Id="rId24" Type="http://schemas.openxmlformats.org/officeDocument/2006/relationships/hyperlink" Target="https://yadi.sk/i/x6kuGCUBVhlH2Q" TargetMode="External"/><Relationship Id="rId32" Type="http://schemas.openxmlformats.org/officeDocument/2006/relationships/hyperlink" Target="https://yadi.sk/i/-OxkmYDFoz2z6w" TargetMode="External"/><Relationship Id="rId37" Type="http://schemas.openxmlformats.org/officeDocument/2006/relationships/hyperlink" Target="https://yadi.sk/i/HS6maciU59EmtA" TargetMode="External"/><Relationship Id="rId40" Type="http://schemas.openxmlformats.org/officeDocument/2006/relationships/hyperlink" Target="https://yadi.sk/i/7aQK2PHWHa2tLQ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yandex.ru/maps/-/CCQhbQX8oC" TargetMode="External"/><Relationship Id="rId15" Type="http://schemas.openxmlformats.org/officeDocument/2006/relationships/hyperlink" Target="https://yandex.ru/maps/-/CCQhbQD-cA" TargetMode="External"/><Relationship Id="rId23" Type="http://schemas.openxmlformats.org/officeDocument/2006/relationships/hyperlink" Target="https://yadi.sk/i/_RLgGl40luvHiQ" TargetMode="External"/><Relationship Id="rId28" Type="http://schemas.openxmlformats.org/officeDocument/2006/relationships/hyperlink" Target="https://yadi.sk/i/LCs3rxsO_ky1Bw" TargetMode="External"/><Relationship Id="rId36" Type="http://schemas.openxmlformats.org/officeDocument/2006/relationships/hyperlink" Target="https://yadi.sk/i/IFbslIuWavMn2w" TargetMode="External"/><Relationship Id="rId10" Type="http://schemas.openxmlformats.org/officeDocument/2006/relationships/hyperlink" Target="https://yandex.ru/maps/-/CCQhbQTa0C" TargetMode="External"/><Relationship Id="rId19" Type="http://schemas.openxmlformats.org/officeDocument/2006/relationships/hyperlink" Target="https://yandex.ru/maps/-/CCQhbQwx1B" TargetMode="External"/><Relationship Id="rId31" Type="http://schemas.openxmlformats.org/officeDocument/2006/relationships/hyperlink" Target="https://yadi.sk/i/RTEKamOz1t385A" TargetMode="External"/><Relationship Id="rId44" Type="http://schemas.openxmlformats.org/officeDocument/2006/relationships/hyperlink" Target="https://yadi.sk/i/p02PhZWza9ZQwQ" TargetMode="External"/><Relationship Id="rId4" Type="http://schemas.openxmlformats.org/officeDocument/2006/relationships/hyperlink" Target="https://yandex.ru/maps/-/CCQhbQXHwD" TargetMode="External"/><Relationship Id="rId9" Type="http://schemas.openxmlformats.org/officeDocument/2006/relationships/hyperlink" Target="https://yandex.ru/maps/-/CCQhbQTNTB" TargetMode="External"/><Relationship Id="rId14" Type="http://schemas.openxmlformats.org/officeDocument/2006/relationships/hyperlink" Target="https://yandex.ru/maps/-/CCQhbQHalC" TargetMode="External"/><Relationship Id="rId22" Type="http://schemas.openxmlformats.org/officeDocument/2006/relationships/hyperlink" Target="https://yadi.sk/i/fc4g7CMbUJV8ew" TargetMode="External"/><Relationship Id="rId27" Type="http://schemas.openxmlformats.org/officeDocument/2006/relationships/hyperlink" Target="https://yadi.sk/i/bUVNg-94VSphRQ" TargetMode="External"/><Relationship Id="rId30" Type="http://schemas.openxmlformats.org/officeDocument/2006/relationships/hyperlink" Target="https://yadi.sk/i/9TEYS1YTmVTLlQ" TargetMode="External"/><Relationship Id="rId35" Type="http://schemas.openxmlformats.org/officeDocument/2006/relationships/hyperlink" Target="https://yadi.sk/i/8nAmHK3ssYml2g" TargetMode="External"/><Relationship Id="rId43" Type="http://schemas.openxmlformats.org/officeDocument/2006/relationships/hyperlink" Target="https://yadi.sk/i/3JjH5QCeNITZJw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ales@port-media.ru" TargetMode="External"/><Relationship Id="rId1" Type="http://schemas.openxmlformats.org/officeDocument/2006/relationships/hyperlink" Target="http://www.port-media.ru/" TargetMode="Externa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sales@port-media.ru" TargetMode="External"/><Relationship Id="rId1" Type="http://schemas.openxmlformats.org/officeDocument/2006/relationships/hyperlink" Target="http://www.port-media.ru/" TargetMode="Externa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5"/>
  <sheetViews>
    <sheetView tabSelected="1" view="pageBreakPreview" topLeftCell="A11" zoomScale="80" zoomScaleNormal="85" zoomScaleSheetLayoutView="80" workbookViewId="0">
      <selection activeCell="I13" sqref="I13"/>
    </sheetView>
  </sheetViews>
  <sheetFormatPr defaultRowHeight="15" outlineLevelCol="1"/>
  <cols>
    <col min="1" max="1" width="46" customWidth="1"/>
    <col min="2" max="2" width="16.5703125" customWidth="1"/>
    <col min="3" max="3" width="6.85546875" customWidth="1"/>
    <col min="4" max="4" width="7.28515625" customWidth="1"/>
    <col min="5" max="5" width="11.7109375" customWidth="1"/>
    <col min="6" max="6" width="20" bestFit="1" customWidth="1"/>
    <col min="7" max="7" width="12.7109375" customWidth="1"/>
    <col min="8" max="8" width="15.85546875" customWidth="1"/>
    <col min="9" max="9" width="13.7109375" customWidth="1"/>
    <col min="10" max="10" width="15.42578125" customWidth="1"/>
    <col min="11" max="11" width="12.42578125" customWidth="1"/>
    <col min="12" max="12" width="11.28515625" customWidth="1"/>
    <col min="13" max="13" width="13.7109375" customWidth="1"/>
    <col min="14" max="14" width="12" customWidth="1"/>
    <col min="15" max="16" width="11.42578125" customWidth="1"/>
    <col min="17" max="21" width="10.7109375" hidden="1" customWidth="1" outlineLevel="1"/>
    <col min="22" max="25" width="7.85546875" hidden="1" customWidth="1" outlineLevel="1"/>
    <col min="26" max="26" width="8.28515625" hidden="1" customWidth="1" outlineLevel="1"/>
    <col min="27" max="32" width="7" hidden="1" customWidth="1" outlineLevel="1"/>
    <col min="33" max="33" width="8.140625" hidden="1" customWidth="1" outlineLevel="1"/>
    <col min="34" max="37" width="7" hidden="1" customWidth="1" outlineLevel="1"/>
    <col min="38" max="38" width="10.7109375" hidden="1" customWidth="1" outlineLevel="1"/>
    <col min="39" max="39" width="12.85546875" customWidth="1" collapsed="1"/>
    <col min="40" max="40" width="8.85546875" hidden="1" customWidth="1" outlineLevel="1"/>
    <col min="41" max="41" width="8.5703125" customWidth="1" collapsed="1"/>
    <col min="42" max="42" width="12" customWidth="1"/>
    <col min="43" max="43" width="1.42578125" customWidth="1"/>
    <col min="44" max="44" width="14.140625" customWidth="1"/>
    <col min="45" max="45" width="21.28515625" customWidth="1"/>
    <col min="46" max="46" width="2.5703125" customWidth="1"/>
  </cols>
  <sheetData>
    <row r="1" spans="1:45" hidden="1">
      <c r="M1" s="18">
        <v>5</v>
      </c>
      <c r="O1" s="18"/>
      <c r="P1" s="18">
        <v>1</v>
      </c>
    </row>
    <row r="2" spans="1:45" hidden="1">
      <c r="M2" s="18">
        <v>10</v>
      </c>
      <c r="O2" s="18"/>
      <c r="P2" s="18">
        <v>2</v>
      </c>
    </row>
    <row r="3" spans="1:45" hidden="1">
      <c r="M3" s="18">
        <v>15</v>
      </c>
      <c r="N3" s="18"/>
      <c r="O3" s="18"/>
      <c r="P3" s="18">
        <v>3</v>
      </c>
    </row>
    <row r="4" spans="1:45" hidden="1">
      <c r="M4" s="18">
        <v>20</v>
      </c>
      <c r="N4" s="18">
        <v>5</v>
      </c>
      <c r="O4" s="18"/>
      <c r="P4" s="18">
        <v>4</v>
      </c>
    </row>
    <row r="5" spans="1:45" hidden="1">
      <c r="N5" s="18">
        <v>10</v>
      </c>
      <c r="O5" s="18"/>
      <c r="P5" s="18">
        <v>5</v>
      </c>
    </row>
    <row r="6" spans="1:45" hidden="1">
      <c r="N6" s="19">
        <v>15</v>
      </c>
      <c r="O6" s="18"/>
      <c r="P6" s="18">
        <v>6</v>
      </c>
    </row>
    <row r="7" spans="1:45" hidden="1">
      <c r="M7" s="24">
        <v>1</v>
      </c>
      <c r="N7" s="19">
        <v>20</v>
      </c>
      <c r="O7" s="18"/>
      <c r="P7" s="18">
        <v>7</v>
      </c>
    </row>
    <row r="8" spans="1:45" hidden="1">
      <c r="M8" s="24">
        <v>2</v>
      </c>
      <c r="N8" s="19">
        <v>25</v>
      </c>
      <c r="O8" s="18"/>
      <c r="P8" s="18">
        <v>8</v>
      </c>
    </row>
    <row r="9" spans="1:45" hidden="1">
      <c r="A9" s="1"/>
      <c r="N9" s="19">
        <v>30</v>
      </c>
      <c r="O9" s="18"/>
      <c r="P9" s="18">
        <v>9</v>
      </c>
    </row>
    <row r="10" spans="1:45" hidden="1">
      <c r="A10" s="1"/>
      <c r="M10" s="1"/>
      <c r="N10" s="20"/>
      <c r="O10" s="18"/>
      <c r="P10" s="18">
        <v>10</v>
      </c>
    </row>
    <row r="11" spans="1:45" ht="30" customHeight="1">
      <c r="A11" s="2" t="s">
        <v>46</v>
      </c>
      <c r="B11" s="2"/>
      <c r="C11" s="2"/>
      <c r="D11" s="2"/>
      <c r="E11" s="2"/>
      <c r="F11" s="2"/>
      <c r="G11" s="2"/>
      <c r="H11" s="2"/>
      <c r="O11" s="42"/>
    </row>
    <row r="12" spans="1:45" ht="60">
      <c r="A12" s="41" t="s">
        <v>66</v>
      </c>
      <c r="B12" s="41" t="s">
        <v>67</v>
      </c>
      <c r="C12" s="28" t="s">
        <v>16</v>
      </c>
      <c r="D12" s="28" t="s">
        <v>17</v>
      </c>
      <c r="E12" s="41" t="s">
        <v>72</v>
      </c>
      <c r="F12" s="28" t="s">
        <v>18</v>
      </c>
      <c r="G12" s="41" t="s">
        <v>99</v>
      </c>
      <c r="H12" s="28" t="s">
        <v>45</v>
      </c>
      <c r="I12" s="28" t="s">
        <v>5</v>
      </c>
      <c r="J12" s="28" t="s">
        <v>6</v>
      </c>
      <c r="K12" s="28" t="s">
        <v>7</v>
      </c>
      <c r="L12" s="30" t="s">
        <v>50</v>
      </c>
      <c r="M12" s="28" t="s">
        <v>0</v>
      </c>
      <c r="N12" s="28" t="s">
        <v>4</v>
      </c>
      <c r="O12" s="28" t="s">
        <v>19</v>
      </c>
      <c r="P12" s="28" t="s">
        <v>8</v>
      </c>
      <c r="Q12" s="15" t="s">
        <v>20</v>
      </c>
      <c r="R12" s="14" t="s">
        <v>26</v>
      </c>
      <c r="S12" s="15" t="s">
        <v>21</v>
      </c>
      <c r="T12" s="14" t="s">
        <v>27</v>
      </c>
      <c r="U12" s="15" t="s">
        <v>22</v>
      </c>
      <c r="V12" s="16" t="s">
        <v>29</v>
      </c>
      <c r="W12" s="16" t="s">
        <v>30</v>
      </c>
      <c r="X12" s="16"/>
      <c r="Y12" s="16"/>
      <c r="Z12" s="28" t="s">
        <v>28</v>
      </c>
      <c r="AA12" s="16" t="s">
        <v>31</v>
      </c>
      <c r="AB12" s="16" t="s">
        <v>32</v>
      </c>
      <c r="AC12" s="16" t="s">
        <v>33</v>
      </c>
      <c r="AD12" s="16" t="s">
        <v>34</v>
      </c>
      <c r="AE12" s="16" t="s">
        <v>35</v>
      </c>
      <c r="AF12" s="16" t="s">
        <v>36</v>
      </c>
      <c r="AG12" s="28" t="s">
        <v>23</v>
      </c>
      <c r="AH12" s="16" t="s">
        <v>37</v>
      </c>
      <c r="AI12" s="16" t="s">
        <v>38</v>
      </c>
      <c r="AJ12" s="16" t="s">
        <v>39</v>
      </c>
      <c r="AK12" s="16" t="s">
        <v>40</v>
      </c>
      <c r="AL12" s="28" t="s">
        <v>25</v>
      </c>
      <c r="AM12" s="28" t="s">
        <v>1</v>
      </c>
      <c r="AN12" s="15" t="s">
        <v>24</v>
      </c>
      <c r="AO12" s="28" t="s">
        <v>2</v>
      </c>
      <c r="AP12" s="28" t="s">
        <v>3</v>
      </c>
      <c r="AR12" s="28" t="s">
        <v>41</v>
      </c>
      <c r="AS12" s="28" t="s">
        <v>49</v>
      </c>
    </row>
    <row r="13" spans="1:45" ht="33.75" customHeight="1">
      <c r="A13" s="15" t="s">
        <v>98</v>
      </c>
      <c r="B13" s="4">
        <v>22</v>
      </c>
      <c r="C13" s="49"/>
      <c r="D13" s="49"/>
      <c r="E13" s="56"/>
      <c r="F13" s="15" t="s">
        <v>48</v>
      </c>
      <c r="G13" s="15" t="s">
        <v>42</v>
      </c>
      <c r="H13" s="51" t="s">
        <v>44</v>
      </c>
      <c r="I13" s="57">
        <v>45717</v>
      </c>
      <c r="J13" s="60">
        <v>45808</v>
      </c>
      <c r="K13" s="48">
        <f t="shared" ref="K13" si="0">J13-I13+1</f>
        <v>92</v>
      </c>
      <c r="L13" s="11">
        <v>2</v>
      </c>
      <c r="M13" s="12">
        <v>10</v>
      </c>
      <c r="N13" s="4">
        <v>1</v>
      </c>
      <c r="O13" s="59">
        <f>IF(L13=2,(6*13*30+1*12*30)/7*N13,(6*13*30+1*12*30)/7*N13*2)*22</f>
        <v>8485.7142857142862</v>
      </c>
      <c r="P13" s="52">
        <f t="shared" ref="P13" si="1">K13*O13</f>
        <v>780685.71428571432</v>
      </c>
      <c r="Q13" s="52">
        <f>1000*Z13*AG13*N13*B13</f>
        <v>22000</v>
      </c>
      <c r="R13" s="52">
        <f t="shared" ref="R13" si="2">(S13-Q13)/7</f>
        <v>3142.8571428571427</v>
      </c>
      <c r="S13" s="52">
        <f>2000*Z13*AG13*N13*B13</f>
        <v>44000</v>
      </c>
      <c r="T13" s="52">
        <f t="shared" ref="T13" si="3">(U13-S13)/(EOMONTH(I13,0)-DATEVALUE(CONCATENATE("01.",MONTH(I13),".",YEAR(I13)))+1-14)</f>
        <v>1294.1176470588234</v>
      </c>
      <c r="U13" s="52">
        <f>3000*Z13*AG13*N13*B13</f>
        <v>66000</v>
      </c>
      <c r="V13" s="53">
        <v>1</v>
      </c>
      <c r="W13" s="53">
        <f>1.8</f>
        <v>1.8</v>
      </c>
      <c r="X13" s="53"/>
      <c r="Y13" s="53"/>
      <c r="Z13" s="53">
        <f>IF(L13=2,V13,W13)</f>
        <v>1</v>
      </c>
      <c r="AA13" s="53">
        <v>0.5</v>
      </c>
      <c r="AB13" s="53">
        <v>1</v>
      </c>
      <c r="AC13" s="53">
        <v>1.3</v>
      </c>
      <c r="AD13" s="53">
        <v>1.6</v>
      </c>
      <c r="AE13" s="53">
        <v>1.8</v>
      </c>
      <c r="AF13" s="53">
        <v>2</v>
      </c>
      <c r="AG13" s="53">
        <f t="shared" ref="AG13" si="4">IF(M13=5,AA13,IF(M13=10,AB13,IF(M13=15,AC13,IF(M13=20,AD13,IF(M13=25,AE13,IF(M13=30,AF13,"ошибка"))))))</f>
        <v>1</v>
      </c>
      <c r="AH13" s="54">
        <v>0</v>
      </c>
      <c r="AI13" s="54">
        <v>0.2</v>
      </c>
      <c r="AJ13" s="54">
        <v>0.33300000000000002</v>
      </c>
      <c r="AK13" s="54">
        <v>0.35</v>
      </c>
      <c r="AL13" s="53">
        <f t="shared" ref="AL13" si="5">IF(N13=1,AH13,IF(N13=2,AI13,IF(N13=3,AJ13,IF(N13&gt;3,AK13,"ошибка"))))</f>
        <v>0</v>
      </c>
      <c r="AM13" s="52">
        <f>IF(K13&lt;=7,Q13,IF(K13&lt;=14,Q13+R13*(K13-7),IF(K13&lt;=31,S13+T13*(K13-14),(DATEDIF(I13,J13,"m")*U13)+U13/(EOMONTH(J13,0)-DATEVALUE(CONCATENATE("01.",MONTH(J13),".",YEAR(J13)))+1)*(DATEDIF(I13,J13,"md")+1))))*1.16</f>
        <v>229679.99999999997</v>
      </c>
      <c r="AN13" s="22">
        <v>0</v>
      </c>
      <c r="AO13" s="21">
        <v>0.65</v>
      </c>
      <c r="AP13" s="46">
        <f t="shared" ref="AP13" si="6">AM13-AM13*AO13</f>
        <v>80387.999999999971</v>
      </c>
      <c r="AQ13" s="7"/>
      <c r="AR13" s="55">
        <f t="shared" ref="AR13" si="7">AP13/AS13*1000</f>
        <v>238.30434782608688</v>
      </c>
      <c r="AS13" s="52">
        <f>5000*B13/30*K13</f>
        <v>337333.33333333331</v>
      </c>
    </row>
    <row r="14" spans="1:45" ht="33.75" customHeight="1">
      <c r="A14" s="63" t="s">
        <v>47</v>
      </c>
      <c r="B14" s="4">
        <v>1</v>
      </c>
      <c r="C14" s="45" t="s">
        <v>70</v>
      </c>
      <c r="D14" s="45" t="s">
        <v>71</v>
      </c>
      <c r="E14" s="44" t="s">
        <v>90</v>
      </c>
      <c r="F14" s="26" t="s">
        <v>48</v>
      </c>
      <c r="G14" s="27" t="s">
        <v>13</v>
      </c>
      <c r="H14" s="23" t="s">
        <v>44</v>
      </c>
      <c r="I14" s="57">
        <v>45717</v>
      </c>
      <c r="J14" s="60">
        <v>45808</v>
      </c>
      <c r="K14" s="3">
        <f t="shared" ref="K14" si="8">J14-I14+1</f>
        <v>92</v>
      </c>
      <c r="L14" s="11">
        <v>2</v>
      </c>
      <c r="M14" s="12">
        <v>10</v>
      </c>
      <c r="N14" s="4">
        <v>1</v>
      </c>
      <c r="O14" s="58">
        <f>ROUND(IF(L14=2,(6*13*30+1*12*30)/7*N14,(6*13*30+1*12*30)/7*N14*2),0)</f>
        <v>386</v>
      </c>
      <c r="P14" s="5">
        <f t="shared" ref="P14" si="9">K14*O14</f>
        <v>35512</v>
      </c>
      <c r="Q14" s="5">
        <f>1000*Z14*AG14*N14</f>
        <v>1000</v>
      </c>
      <c r="R14" s="5">
        <f t="shared" ref="R14" si="10">(S14-Q14)/7</f>
        <v>142.85714285714286</v>
      </c>
      <c r="S14" s="5">
        <f>2000*Z14*AG14*N14</f>
        <v>2000</v>
      </c>
      <c r="T14" s="5">
        <f t="shared" ref="T14" si="11">(U14-S14)/(EOMONTH(I14,0)-DATEVALUE(CONCATENATE("01.",MONTH(I14),".",YEAR(I14)))+1-14)</f>
        <v>58.823529411764703</v>
      </c>
      <c r="U14" s="5">
        <f>3000*Z14*AG14*N14</f>
        <v>3000</v>
      </c>
      <c r="V14" s="13">
        <v>1</v>
      </c>
      <c r="W14" s="13">
        <f>1.8</f>
        <v>1.8</v>
      </c>
      <c r="X14" s="13"/>
      <c r="Y14" s="13"/>
      <c r="Z14" s="13">
        <f>IF(L14=2,V14,W14)</f>
        <v>1</v>
      </c>
      <c r="AA14" s="13">
        <v>0.5</v>
      </c>
      <c r="AB14" s="13">
        <v>1</v>
      </c>
      <c r="AC14" s="13">
        <v>1.3</v>
      </c>
      <c r="AD14" s="13">
        <v>1.6</v>
      </c>
      <c r="AE14" s="13">
        <v>1.8</v>
      </c>
      <c r="AF14" s="13">
        <v>2</v>
      </c>
      <c r="AG14" s="13">
        <f t="shared" ref="AG14" si="12">IF(M14=5,AA14,IF(M14=10,AB14,IF(M14=15,AC14,IF(M14=20,AD14,IF(M14=25,AE14,IF(M14=30,AF14,"ошибка"))))))</f>
        <v>1</v>
      </c>
      <c r="AH14" s="17">
        <v>0</v>
      </c>
      <c r="AI14" s="17">
        <v>0.2</v>
      </c>
      <c r="AJ14" s="17">
        <v>0.33300000000000002</v>
      </c>
      <c r="AK14" s="17">
        <v>0.35</v>
      </c>
      <c r="AL14" s="13">
        <f t="shared" ref="AL14" si="13">IF(N14=1,AH14,IF(N14=2,AI14,IF(N14=3,AJ14,IF(N14&gt;3,AK14,"ошибка"))))</f>
        <v>0</v>
      </c>
      <c r="AM14" s="5">
        <f>IF(K14&lt;=7,Q14,IF(K14&lt;=14,Q14+R14*(K14-7),IF(K14&lt;=31,S14+T14*(K14-14),(DATEDIF(I14,J14,"m")*U14)+U14/(EOMONTH(J14,0)-DATEVALUE(CONCATENATE("01.",MONTH(J14),".",YEAR(J14)))+1)*(DATEDIF(I14,J14,"md")+1))))*1.16</f>
        <v>10440</v>
      </c>
      <c r="AN14" s="22">
        <v>0</v>
      </c>
      <c r="AO14" s="6">
        <v>0</v>
      </c>
      <c r="AP14" s="25">
        <f t="shared" ref="AP14" si="14">AM14-AM14*AO14</f>
        <v>10440</v>
      </c>
      <c r="AQ14" s="7"/>
      <c r="AR14" s="8">
        <f t="shared" ref="AR14" si="15">AP14/AS14*1000</f>
        <v>680.86956521739137</v>
      </c>
      <c r="AS14" s="10">
        <f>5000/30*K14</f>
        <v>15333.333333333332</v>
      </c>
    </row>
    <row r="15" spans="1:45" ht="33.75" customHeight="1">
      <c r="A15" s="63" t="s">
        <v>51</v>
      </c>
      <c r="B15" s="4">
        <v>1</v>
      </c>
      <c r="C15" s="45" t="s">
        <v>70</v>
      </c>
      <c r="D15" s="45" t="s">
        <v>71</v>
      </c>
      <c r="E15" s="44" t="s">
        <v>81</v>
      </c>
      <c r="F15" s="31" t="s">
        <v>55</v>
      </c>
      <c r="G15" s="29" t="s">
        <v>13</v>
      </c>
      <c r="H15" s="23" t="s">
        <v>44</v>
      </c>
      <c r="I15" s="57">
        <v>45717</v>
      </c>
      <c r="J15" s="60">
        <v>45808</v>
      </c>
      <c r="K15" s="3">
        <f t="shared" ref="K15:K18" si="16">J15-I15+1</f>
        <v>92</v>
      </c>
      <c r="L15" s="11">
        <v>2</v>
      </c>
      <c r="M15" s="12">
        <v>10</v>
      </c>
      <c r="N15" s="4">
        <v>1</v>
      </c>
      <c r="O15" s="58">
        <f>ROUND(IF(L15=2,(6*13*30+1*12*30)/7*N15,(6*13*30+1*12*30)/7*N15*2),0)</f>
        <v>386</v>
      </c>
      <c r="P15" s="5">
        <f t="shared" ref="P15:P18" si="17">K15*O15</f>
        <v>35512</v>
      </c>
      <c r="Q15" s="5">
        <f t="shared" ref="Q15:Q18" si="18">1000*Z15*AG15*N15</f>
        <v>1000</v>
      </c>
      <c r="R15" s="5">
        <f t="shared" ref="R15:R18" si="19">(S15-Q15)/7</f>
        <v>142.85714285714286</v>
      </c>
      <c r="S15" s="5">
        <f t="shared" ref="S15:S18" si="20">2000*Z15*AG15*N15</f>
        <v>2000</v>
      </c>
      <c r="T15" s="5">
        <f t="shared" ref="T15:T18" si="21">(U15-S15)/(EOMONTH(I15,0)-DATEVALUE(CONCATENATE("01.",MONTH(I15),".",YEAR(I15)))+1-14)</f>
        <v>58.823529411764703</v>
      </c>
      <c r="U15" s="5">
        <f t="shared" ref="U15:U18" si="22">3000*Z15*AG15*N15</f>
        <v>3000</v>
      </c>
      <c r="V15" s="13">
        <v>1</v>
      </c>
      <c r="W15" s="13">
        <f t="shared" ref="W15:W35" si="23">1.8</f>
        <v>1.8</v>
      </c>
      <c r="X15" s="13"/>
      <c r="Y15" s="13"/>
      <c r="Z15" s="13">
        <f t="shared" ref="Z15:Z18" si="24">IF(L15=2,V15,W15)</f>
        <v>1</v>
      </c>
      <c r="AA15" s="13">
        <v>0.5</v>
      </c>
      <c r="AB15" s="13">
        <v>1</v>
      </c>
      <c r="AC15" s="13">
        <v>1.3</v>
      </c>
      <c r="AD15" s="13">
        <v>1.6</v>
      </c>
      <c r="AE15" s="13">
        <v>1.8</v>
      </c>
      <c r="AF15" s="13">
        <v>2</v>
      </c>
      <c r="AG15" s="13">
        <f t="shared" ref="AG15:AG18" si="25">IF(M15=5,AA15,IF(M15=10,AB15,IF(M15=15,AC15,IF(M15=20,AD15,IF(M15=25,AE15,IF(M15=30,AF15,"ошибка"))))))</f>
        <v>1</v>
      </c>
      <c r="AH15" s="17">
        <v>0</v>
      </c>
      <c r="AI15" s="17">
        <v>0.2</v>
      </c>
      <c r="AJ15" s="17">
        <v>0.33300000000000002</v>
      </c>
      <c r="AK15" s="17">
        <v>0.35</v>
      </c>
      <c r="AL15" s="13">
        <f t="shared" ref="AL15:AL18" si="26">IF(N15=1,AH15,IF(N15=2,AI15,IF(N15=3,AJ15,IF(N15&gt;3,AK15,"ошибка"))))</f>
        <v>0</v>
      </c>
      <c r="AM15" s="5">
        <f t="shared" ref="AM15:AM35" si="27">IF(K15&lt;=7,Q15,IF(K15&lt;=14,Q15+R15*(K15-7),IF(K15&lt;=31,S15+T15*(K15-14),(DATEDIF(I15,J15,"m")*U15)+U15/(EOMONTH(J15,0)-DATEVALUE(CONCATENATE("01.",MONTH(J15),".",YEAR(J15)))+1)*(DATEDIF(I15,J15,"md")+1))))*1.16</f>
        <v>10440</v>
      </c>
      <c r="AN15" s="22">
        <v>0</v>
      </c>
      <c r="AO15" s="6">
        <v>0</v>
      </c>
      <c r="AP15" s="25">
        <f t="shared" ref="AP15:AP18" si="28">AM15-AM15*AO15</f>
        <v>10440</v>
      </c>
      <c r="AQ15" s="7"/>
      <c r="AR15" s="8">
        <f t="shared" ref="AR15:AR18" si="29">AP15/AS15*1000</f>
        <v>680.86956521739137</v>
      </c>
      <c r="AS15" s="10">
        <f t="shared" ref="AS15:AS24" si="30">5000/30*K15</f>
        <v>15333.333333333332</v>
      </c>
    </row>
    <row r="16" spans="1:45" ht="33.75" customHeight="1">
      <c r="A16" s="63" t="s">
        <v>52</v>
      </c>
      <c r="B16" s="4">
        <v>1</v>
      </c>
      <c r="C16" s="45" t="s">
        <v>70</v>
      </c>
      <c r="D16" s="45" t="s">
        <v>71</v>
      </c>
      <c r="E16" s="44" t="s">
        <v>73</v>
      </c>
      <c r="F16" s="31" t="s">
        <v>55</v>
      </c>
      <c r="G16" s="29" t="s">
        <v>13</v>
      </c>
      <c r="H16" s="23" t="s">
        <v>44</v>
      </c>
      <c r="I16" s="57">
        <v>45717</v>
      </c>
      <c r="J16" s="60">
        <v>45808</v>
      </c>
      <c r="K16" s="3">
        <f t="shared" si="16"/>
        <v>92</v>
      </c>
      <c r="L16" s="11">
        <v>2</v>
      </c>
      <c r="M16" s="12">
        <v>10</v>
      </c>
      <c r="N16" s="4">
        <v>1</v>
      </c>
      <c r="O16" s="58">
        <f t="shared" ref="O16:O28" si="31">ROUND(IF(L16=2,(6*13*30+1*12*30)/7*N16,(6*13*30+1*12*30)/7*N16*2),0)</f>
        <v>386</v>
      </c>
      <c r="P16" s="5">
        <f t="shared" si="17"/>
        <v>35512</v>
      </c>
      <c r="Q16" s="5">
        <f t="shared" si="18"/>
        <v>1000</v>
      </c>
      <c r="R16" s="5">
        <f t="shared" si="19"/>
        <v>142.85714285714286</v>
      </c>
      <c r="S16" s="5">
        <f t="shared" si="20"/>
        <v>2000</v>
      </c>
      <c r="T16" s="5">
        <f t="shared" si="21"/>
        <v>58.823529411764703</v>
      </c>
      <c r="U16" s="5">
        <f t="shared" si="22"/>
        <v>3000</v>
      </c>
      <c r="V16" s="13">
        <v>1</v>
      </c>
      <c r="W16" s="13">
        <f t="shared" si="23"/>
        <v>1.8</v>
      </c>
      <c r="X16" s="13"/>
      <c r="Y16" s="13"/>
      <c r="Z16" s="13">
        <f t="shared" si="24"/>
        <v>1</v>
      </c>
      <c r="AA16" s="13">
        <v>0.5</v>
      </c>
      <c r="AB16" s="13">
        <v>1</v>
      </c>
      <c r="AC16" s="13">
        <v>1.3</v>
      </c>
      <c r="AD16" s="13">
        <v>1.6</v>
      </c>
      <c r="AE16" s="13">
        <v>1.8</v>
      </c>
      <c r="AF16" s="13">
        <v>2</v>
      </c>
      <c r="AG16" s="13">
        <f t="shared" si="25"/>
        <v>1</v>
      </c>
      <c r="AH16" s="17">
        <v>0</v>
      </c>
      <c r="AI16" s="17">
        <v>0.2</v>
      </c>
      <c r="AJ16" s="17">
        <v>0.33300000000000002</v>
      </c>
      <c r="AK16" s="17">
        <v>0.35</v>
      </c>
      <c r="AL16" s="13">
        <f t="shared" si="26"/>
        <v>0</v>
      </c>
      <c r="AM16" s="5">
        <f t="shared" si="27"/>
        <v>10440</v>
      </c>
      <c r="AN16" s="22">
        <v>0</v>
      </c>
      <c r="AO16" s="6">
        <v>0</v>
      </c>
      <c r="AP16" s="25">
        <f t="shared" si="28"/>
        <v>10440</v>
      </c>
      <c r="AQ16" s="7"/>
      <c r="AR16" s="8">
        <f t="shared" si="29"/>
        <v>680.86956521739137</v>
      </c>
      <c r="AS16" s="10">
        <f t="shared" si="30"/>
        <v>15333.333333333332</v>
      </c>
    </row>
    <row r="17" spans="1:45" ht="33.75" customHeight="1">
      <c r="A17" s="63" t="s">
        <v>54</v>
      </c>
      <c r="B17" s="4">
        <v>1</v>
      </c>
      <c r="C17" s="45" t="s">
        <v>70</v>
      </c>
      <c r="D17" s="45" t="s">
        <v>71</v>
      </c>
      <c r="E17" s="44" t="s">
        <v>82</v>
      </c>
      <c r="F17" s="31" t="s">
        <v>55</v>
      </c>
      <c r="G17" s="29" t="s">
        <v>13</v>
      </c>
      <c r="H17" s="23" t="s">
        <v>44</v>
      </c>
      <c r="I17" s="57">
        <v>45717</v>
      </c>
      <c r="J17" s="60">
        <v>45808</v>
      </c>
      <c r="K17" s="3">
        <f t="shared" si="16"/>
        <v>92</v>
      </c>
      <c r="L17" s="11">
        <v>2</v>
      </c>
      <c r="M17" s="12">
        <v>10</v>
      </c>
      <c r="N17" s="4">
        <v>1</v>
      </c>
      <c r="O17" s="58">
        <f t="shared" si="31"/>
        <v>386</v>
      </c>
      <c r="P17" s="5">
        <f t="shared" si="17"/>
        <v>35512</v>
      </c>
      <c r="Q17" s="5">
        <f t="shared" si="18"/>
        <v>1000</v>
      </c>
      <c r="R17" s="5">
        <f t="shared" si="19"/>
        <v>142.85714285714286</v>
      </c>
      <c r="S17" s="5">
        <f t="shared" si="20"/>
        <v>2000</v>
      </c>
      <c r="T17" s="5">
        <f t="shared" si="21"/>
        <v>58.823529411764703</v>
      </c>
      <c r="U17" s="5">
        <f t="shared" si="22"/>
        <v>3000</v>
      </c>
      <c r="V17" s="13">
        <v>1</v>
      </c>
      <c r="W17" s="13">
        <f t="shared" si="23"/>
        <v>1.8</v>
      </c>
      <c r="X17" s="13"/>
      <c r="Y17" s="13"/>
      <c r="Z17" s="13">
        <f t="shared" si="24"/>
        <v>1</v>
      </c>
      <c r="AA17" s="13">
        <v>0.5</v>
      </c>
      <c r="AB17" s="13">
        <v>1</v>
      </c>
      <c r="AC17" s="13">
        <v>1.3</v>
      </c>
      <c r="AD17" s="13">
        <v>1.6</v>
      </c>
      <c r="AE17" s="13">
        <v>1.8</v>
      </c>
      <c r="AF17" s="13">
        <v>2</v>
      </c>
      <c r="AG17" s="13">
        <f t="shared" si="25"/>
        <v>1</v>
      </c>
      <c r="AH17" s="17">
        <v>0</v>
      </c>
      <c r="AI17" s="17">
        <v>0.2</v>
      </c>
      <c r="AJ17" s="17">
        <v>0.33300000000000002</v>
      </c>
      <c r="AK17" s="17">
        <v>0.35</v>
      </c>
      <c r="AL17" s="13">
        <f t="shared" si="26"/>
        <v>0</v>
      </c>
      <c r="AM17" s="5">
        <f t="shared" si="27"/>
        <v>10440</v>
      </c>
      <c r="AN17" s="22">
        <v>0</v>
      </c>
      <c r="AO17" s="6">
        <v>0</v>
      </c>
      <c r="AP17" s="25">
        <f t="shared" si="28"/>
        <v>10440</v>
      </c>
      <c r="AQ17" s="7"/>
      <c r="AR17" s="8">
        <f t="shared" si="29"/>
        <v>680.86956521739137</v>
      </c>
      <c r="AS17" s="10">
        <f t="shared" si="30"/>
        <v>15333.333333333332</v>
      </c>
    </row>
    <row r="18" spans="1:45" ht="33.75" customHeight="1">
      <c r="A18" s="63" t="s">
        <v>53</v>
      </c>
      <c r="B18" s="4">
        <v>1</v>
      </c>
      <c r="C18" s="45" t="s">
        <v>70</v>
      </c>
      <c r="D18" s="45" t="s">
        <v>71</v>
      </c>
      <c r="E18" s="44" t="s">
        <v>83</v>
      </c>
      <c r="F18" s="31" t="s">
        <v>55</v>
      </c>
      <c r="G18" s="29" t="s">
        <v>13</v>
      </c>
      <c r="H18" s="23" t="s">
        <v>44</v>
      </c>
      <c r="I18" s="57">
        <v>45717</v>
      </c>
      <c r="J18" s="60">
        <v>45808</v>
      </c>
      <c r="K18" s="3">
        <f t="shared" si="16"/>
        <v>92</v>
      </c>
      <c r="L18" s="11">
        <v>2</v>
      </c>
      <c r="M18" s="12">
        <v>10</v>
      </c>
      <c r="N18" s="4">
        <v>1</v>
      </c>
      <c r="O18" s="58">
        <f t="shared" si="31"/>
        <v>386</v>
      </c>
      <c r="P18" s="5">
        <f t="shared" si="17"/>
        <v>35512</v>
      </c>
      <c r="Q18" s="5">
        <f t="shared" si="18"/>
        <v>1000</v>
      </c>
      <c r="R18" s="5">
        <f t="shared" si="19"/>
        <v>142.85714285714286</v>
      </c>
      <c r="S18" s="5">
        <f t="shared" si="20"/>
        <v>2000</v>
      </c>
      <c r="T18" s="5">
        <f t="shared" si="21"/>
        <v>58.823529411764703</v>
      </c>
      <c r="U18" s="5">
        <f t="shared" si="22"/>
        <v>3000</v>
      </c>
      <c r="V18" s="13">
        <v>1</v>
      </c>
      <c r="W18" s="13">
        <f t="shared" si="23"/>
        <v>1.8</v>
      </c>
      <c r="X18" s="13"/>
      <c r="Y18" s="13"/>
      <c r="Z18" s="13">
        <f t="shared" si="24"/>
        <v>1</v>
      </c>
      <c r="AA18" s="13">
        <v>0.5</v>
      </c>
      <c r="AB18" s="13">
        <v>1</v>
      </c>
      <c r="AC18" s="13">
        <v>1.3</v>
      </c>
      <c r="AD18" s="13">
        <v>1.6</v>
      </c>
      <c r="AE18" s="13">
        <v>1.8</v>
      </c>
      <c r="AF18" s="13">
        <v>2</v>
      </c>
      <c r="AG18" s="13">
        <f t="shared" si="25"/>
        <v>1</v>
      </c>
      <c r="AH18" s="17">
        <v>0</v>
      </c>
      <c r="AI18" s="17">
        <v>0.2</v>
      </c>
      <c r="AJ18" s="17">
        <v>0.33300000000000002</v>
      </c>
      <c r="AK18" s="17">
        <v>0.35</v>
      </c>
      <c r="AL18" s="13">
        <f t="shared" si="26"/>
        <v>0</v>
      </c>
      <c r="AM18" s="5">
        <f t="shared" si="27"/>
        <v>10440</v>
      </c>
      <c r="AN18" s="22">
        <v>0</v>
      </c>
      <c r="AO18" s="6">
        <v>0</v>
      </c>
      <c r="AP18" s="25">
        <f t="shared" si="28"/>
        <v>10440</v>
      </c>
      <c r="AQ18" s="7"/>
      <c r="AR18" s="8">
        <f t="shared" si="29"/>
        <v>680.86956521739137</v>
      </c>
      <c r="AS18" s="10">
        <f t="shared" si="30"/>
        <v>15333.333333333332</v>
      </c>
    </row>
    <row r="19" spans="1:45" ht="33.75" customHeight="1">
      <c r="A19" s="63" t="s">
        <v>56</v>
      </c>
      <c r="B19" s="4">
        <v>1</v>
      </c>
      <c r="C19" s="45" t="s">
        <v>70</v>
      </c>
      <c r="D19" s="45" t="s">
        <v>71</v>
      </c>
      <c r="E19" s="44" t="s">
        <v>74</v>
      </c>
      <c r="F19" s="32" t="s">
        <v>55</v>
      </c>
      <c r="G19" s="33" t="s">
        <v>13</v>
      </c>
      <c r="H19" s="23" t="s">
        <v>44</v>
      </c>
      <c r="I19" s="57">
        <v>45717</v>
      </c>
      <c r="J19" s="60">
        <v>45808</v>
      </c>
      <c r="K19" s="3">
        <f t="shared" ref="K19:K21" si="32">J19-I19+1</f>
        <v>92</v>
      </c>
      <c r="L19" s="11">
        <v>2</v>
      </c>
      <c r="M19" s="12">
        <v>10</v>
      </c>
      <c r="N19" s="4">
        <v>1</v>
      </c>
      <c r="O19" s="58">
        <f t="shared" si="31"/>
        <v>386</v>
      </c>
      <c r="P19" s="5">
        <f t="shared" ref="P19:P21" si="33">K19*O19</f>
        <v>35512</v>
      </c>
      <c r="Q19" s="5">
        <f t="shared" ref="Q19:Q21" si="34">1000*Z19*AG19*N19</f>
        <v>1000</v>
      </c>
      <c r="R19" s="5">
        <f t="shared" ref="R19:R21" si="35">(S19-Q19)/7</f>
        <v>142.85714285714286</v>
      </c>
      <c r="S19" s="5">
        <f t="shared" ref="S19:S21" si="36">2000*Z19*AG19*N19</f>
        <v>2000</v>
      </c>
      <c r="T19" s="5">
        <f t="shared" ref="T19:T21" si="37">(U19-S19)/(EOMONTH(I19,0)-DATEVALUE(CONCATENATE("01.",MONTH(I19),".",YEAR(I19)))+1-14)</f>
        <v>58.823529411764703</v>
      </c>
      <c r="U19" s="5">
        <f t="shared" ref="U19:U21" si="38">3000*Z19*AG19*N19</f>
        <v>3000</v>
      </c>
      <c r="V19" s="13">
        <v>1</v>
      </c>
      <c r="W19" s="13">
        <f t="shared" si="23"/>
        <v>1.8</v>
      </c>
      <c r="X19" s="13"/>
      <c r="Y19" s="13"/>
      <c r="Z19" s="13">
        <f t="shared" ref="Z19:Z21" si="39">IF(L19=2,V19,W19)</f>
        <v>1</v>
      </c>
      <c r="AA19" s="13">
        <v>0.5</v>
      </c>
      <c r="AB19" s="13">
        <v>1</v>
      </c>
      <c r="AC19" s="13">
        <v>1.3</v>
      </c>
      <c r="AD19" s="13">
        <v>1.6</v>
      </c>
      <c r="AE19" s="13">
        <v>1.8</v>
      </c>
      <c r="AF19" s="13">
        <v>2</v>
      </c>
      <c r="AG19" s="13">
        <f t="shared" ref="AG19:AG21" si="40">IF(M19=5,AA19,IF(M19=10,AB19,IF(M19=15,AC19,IF(M19=20,AD19,IF(M19=25,AE19,IF(M19=30,AF19,"ошибка"))))))</f>
        <v>1</v>
      </c>
      <c r="AH19" s="17">
        <v>0</v>
      </c>
      <c r="AI19" s="17">
        <v>0.2</v>
      </c>
      <c r="AJ19" s="17">
        <v>0.33300000000000002</v>
      </c>
      <c r="AK19" s="17">
        <v>0.35</v>
      </c>
      <c r="AL19" s="13">
        <f t="shared" ref="AL19:AL21" si="41">IF(N19=1,AH19,IF(N19=2,AI19,IF(N19=3,AJ19,IF(N19&gt;3,AK19,"ошибка"))))</f>
        <v>0</v>
      </c>
      <c r="AM19" s="5">
        <f t="shared" si="27"/>
        <v>10440</v>
      </c>
      <c r="AN19" s="22">
        <v>0</v>
      </c>
      <c r="AO19" s="6">
        <v>0</v>
      </c>
      <c r="AP19" s="25">
        <f t="shared" ref="AP19:AP21" si="42">AM19-AM19*AO19</f>
        <v>10440</v>
      </c>
      <c r="AQ19" s="7"/>
      <c r="AR19" s="8">
        <f t="shared" ref="AR19:AR21" si="43">AP19/AS19*1000</f>
        <v>680.86956521739137</v>
      </c>
      <c r="AS19" s="10">
        <f t="shared" si="30"/>
        <v>15333.333333333332</v>
      </c>
    </row>
    <row r="20" spans="1:45" ht="33.75" customHeight="1">
      <c r="A20" s="63" t="s">
        <v>57</v>
      </c>
      <c r="B20" s="4">
        <v>1</v>
      </c>
      <c r="C20" s="45" t="s">
        <v>70</v>
      </c>
      <c r="D20" s="45" t="s">
        <v>71</v>
      </c>
      <c r="E20" s="44" t="s">
        <v>84</v>
      </c>
      <c r="F20" s="32" t="s">
        <v>55</v>
      </c>
      <c r="G20" s="33" t="s">
        <v>13</v>
      </c>
      <c r="H20" s="23" t="s">
        <v>44</v>
      </c>
      <c r="I20" s="57">
        <v>45717</v>
      </c>
      <c r="J20" s="60">
        <v>45808</v>
      </c>
      <c r="K20" s="3">
        <f t="shared" si="32"/>
        <v>92</v>
      </c>
      <c r="L20" s="11">
        <v>2</v>
      </c>
      <c r="M20" s="12">
        <v>10</v>
      </c>
      <c r="N20" s="4">
        <v>1</v>
      </c>
      <c r="O20" s="58">
        <f t="shared" si="31"/>
        <v>386</v>
      </c>
      <c r="P20" s="5">
        <f t="shared" si="33"/>
        <v>35512</v>
      </c>
      <c r="Q20" s="5">
        <f t="shared" si="34"/>
        <v>1000</v>
      </c>
      <c r="R20" s="5">
        <f t="shared" si="35"/>
        <v>142.85714285714286</v>
      </c>
      <c r="S20" s="5">
        <f t="shared" si="36"/>
        <v>2000</v>
      </c>
      <c r="T20" s="5">
        <f t="shared" si="37"/>
        <v>58.823529411764703</v>
      </c>
      <c r="U20" s="5">
        <f t="shared" si="38"/>
        <v>3000</v>
      </c>
      <c r="V20" s="13">
        <v>1</v>
      </c>
      <c r="W20" s="13">
        <f t="shared" si="23"/>
        <v>1.8</v>
      </c>
      <c r="X20" s="13"/>
      <c r="Y20" s="13"/>
      <c r="Z20" s="13">
        <f t="shared" si="39"/>
        <v>1</v>
      </c>
      <c r="AA20" s="13">
        <v>0.5</v>
      </c>
      <c r="AB20" s="13">
        <v>1</v>
      </c>
      <c r="AC20" s="13">
        <v>1.3</v>
      </c>
      <c r="AD20" s="13">
        <v>1.6</v>
      </c>
      <c r="AE20" s="13">
        <v>1.8</v>
      </c>
      <c r="AF20" s="13">
        <v>2</v>
      </c>
      <c r="AG20" s="13">
        <f t="shared" si="40"/>
        <v>1</v>
      </c>
      <c r="AH20" s="17">
        <v>0</v>
      </c>
      <c r="AI20" s="17">
        <v>0.2</v>
      </c>
      <c r="AJ20" s="17">
        <v>0.33300000000000002</v>
      </c>
      <c r="AK20" s="17">
        <v>0.35</v>
      </c>
      <c r="AL20" s="13">
        <f t="shared" si="41"/>
        <v>0</v>
      </c>
      <c r="AM20" s="5">
        <f t="shared" si="27"/>
        <v>10440</v>
      </c>
      <c r="AN20" s="22">
        <v>0</v>
      </c>
      <c r="AO20" s="6">
        <v>0</v>
      </c>
      <c r="AP20" s="25">
        <f t="shared" si="42"/>
        <v>10440</v>
      </c>
      <c r="AQ20" s="7"/>
      <c r="AR20" s="8">
        <f t="shared" si="43"/>
        <v>680.86956521739137</v>
      </c>
      <c r="AS20" s="10">
        <f t="shared" si="30"/>
        <v>15333.333333333332</v>
      </c>
    </row>
    <row r="21" spans="1:45" ht="33.75" customHeight="1">
      <c r="A21" s="63" t="s">
        <v>58</v>
      </c>
      <c r="B21" s="4">
        <v>1</v>
      </c>
      <c r="C21" s="45" t="s">
        <v>70</v>
      </c>
      <c r="D21" s="45" t="s">
        <v>71</v>
      </c>
      <c r="E21" s="44" t="s">
        <v>75</v>
      </c>
      <c r="F21" s="32" t="s">
        <v>55</v>
      </c>
      <c r="G21" s="33" t="s">
        <v>13</v>
      </c>
      <c r="H21" s="23" t="s">
        <v>44</v>
      </c>
      <c r="I21" s="57">
        <v>45717</v>
      </c>
      <c r="J21" s="60">
        <v>45808</v>
      </c>
      <c r="K21" s="3">
        <f t="shared" si="32"/>
        <v>92</v>
      </c>
      <c r="L21" s="11">
        <v>2</v>
      </c>
      <c r="M21" s="12">
        <v>10</v>
      </c>
      <c r="N21" s="4">
        <v>1</v>
      </c>
      <c r="O21" s="58">
        <f t="shared" si="31"/>
        <v>386</v>
      </c>
      <c r="P21" s="5">
        <f t="shared" si="33"/>
        <v>35512</v>
      </c>
      <c r="Q21" s="5">
        <f t="shared" si="34"/>
        <v>1000</v>
      </c>
      <c r="R21" s="5">
        <f t="shared" si="35"/>
        <v>142.85714285714286</v>
      </c>
      <c r="S21" s="5">
        <f t="shared" si="36"/>
        <v>2000</v>
      </c>
      <c r="T21" s="5">
        <f t="shared" si="37"/>
        <v>58.823529411764703</v>
      </c>
      <c r="U21" s="5">
        <f t="shared" si="38"/>
        <v>3000</v>
      </c>
      <c r="V21" s="13">
        <v>1</v>
      </c>
      <c r="W21" s="13">
        <f t="shared" si="23"/>
        <v>1.8</v>
      </c>
      <c r="X21" s="13"/>
      <c r="Y21" s="13"/>
      <c r="Z21" s="13">
        <f t="shared" si="39"/>
        <v>1</v>
      </c>
      <c r="AA21" s="13">
        <v>0.5</v>
      </c>
      <c r="AB21" s="13">
        <v>1</v>
      </c>
      <c r="AC21" s="13">
        <v>1.3</v>
      </c>
      <c r="AD21" s="13">
        <v>1.6</v>
      </c>
      <c r="AE21" s="13">
        <v>1.8</v>
      </c>
      <c r="AF21" s="13">
        <v>2</v>
      </c>
      <c r="AG21" s="13">
        <f t="shared" si="40"/>
        <v>1</v>
      </c>
      <c r="AH21" s="17">
        <v>0</v>
      </c>
      <c r="AI21" s="17">
        <v>0.2</v>
      </c>
      <c r="AJ21" s="17">
        <v>0.33300000000000002</v>
      </c>
      <c r="AK21" s="17">
        <v>0.35</v>
      </c>
      <c r="AL21" s="13">
        <f t="shared" si="41"/>
        <v>0</v>
      </c>
      <c r="AM21" s="5">
        <f t="shared" si="27"/>
        <v>10440</v>
      </c>
      <c r="AN21" s="22">
        <v>0</v>
      </c>
      <c r="AO21" s="6">
        <v>0</v>
      </c>
      <c r="AP21" s="25">
        <f t="shared" si="42"/>
        <v>10440</v>
      </c>
      <c r="AQ21" s="7"/>
      <c r="AR21" s="8">
        <f t="shared" si="43"/>
        <v>680.86956521739137</v>
      </c>
      <c r="AS21" s="10">
        <f t="shared" si="30"/>
        <v>15333.333333333332</v>
      </c>
    </row>
    <row r="22" spans="1:45" ht="33.75" customHeight="1">
      <c r="A22" s="63" t="s">
        <v>59</v>
      </c>
      <c r="B22" s="4">
        <v>1</v>
      </c>
      <c r="C22" s="45" t="s">
        <v>70</v>
      </c>
      <c r="D22" s="45" t="s">
        <v>71</v>
      </c>
      <c r="E22" s="44" t="s">
        <v>76</v>
      </c>
      <c r="F22" s="34" t="s">
        <v>55</v>
      </c>
      <c r="G22" s="35" t="s">
        <v>13</v>
      </c>
      <c r="H22" s="23" t="s">
        <v>44</v>
      </c>
      <c r="I22" s="57">
        <v>45717</v>
      </c>
      <c r="J22" s="60">
        <v>45808</v>
      </c>
      <c r="K22" s="3">
        <f t="shared" ref="K22:K24" si="44">J22-I22+1</f>
        <v>92</v>
      </c>
      <c r="L22" s="11">
        <v>2</v>
      </c>
      <c r="M22" s="12">
        <v>10</v>
      </c>
      <c r="N22" s="4">
        <v>1</v>
      </c>
      <c r="O22" s="58">
        <f t="shared" si="31"/>
        <v>386</v>
      </c>
      <c r="P22" s="5">
        <f t="shared" ref="P22:P24" si="45">K22*O22</f>
        <v>35512</v>
      </c>
      <c r="Q22" s="5">
        <f t="shared" ref="Q22:Q24" si="46">1000*Z22*AG22*N22</f>
        <v>1000</v>
      </c>
      <c r="R22" s="5">
        <f t="shared" ref="R22:R24" si="47">(S22-Q22)/7</f>
        <v>142.85714285714286</v>
      </c>
      <c r="S22" s="5">
        <f t="shared" ref="S22:S24" si="48">2000*Z22*AG22*N22</f>
        <v>2000</v>
      </c>
      <c r="T22" s="5">
        <f t="shared" ref="T22:T24" si="49">(U22-S22)/(EOMONTH(I22,0)-DATEVALUE(CONCATENATE("01.",MONTH(I22),".",YEAR(I22)))+1-14)</f>
        <v>58.823529411764703</v>
      </c>
      <c r="U22" s="5">
        <f t="shared" ref="U22:U24" si="50">3000*Z22*AG22*N22</f>
        <v>3000</v>
      </c>
      <c r="V22" s="13">
        <v>1</v>
      </c>
      <c r="W22" s="13">
        <f t="shared" si="23"/>
        <v>1.8</v>
      </c>
      <c r="X22" s="13"/>
      <c r="Y22" s="13"/>
      <c r="Z22" s="13">
        <f t="shared" ref="Z22:Z24" si="51">IF(L22=2,V22,W22)</f>
        <v>1</v>
      </c>
      <c r="AA22" s="13">
        <v>0.5</v>
      </c>
      <c r="AB22" s="13">
        <v>1</v>
      </c>
      <c r="AC22" s="13">
        <v>1.3</v>
      </c>
      <c r="AD22" s="13">
        <v>1.6</v>
      </c>
      <c r="AE22" s="13">
        <v>1.8</v>
      </c>
      <c r="AF22" s="13">
        <v>2</v>
      </c>
      <c r="AG22" s="13">
        <f t="shared" ref="AG22:AG24" si="52">IF(M22=5,AA22,IF(M22=10,AB22,IF(M22=15,AC22,IF(M22=20,AD22,IF(M22=25,AE22,IF(M22=30,AF22,"ошибка"))))))</f>
        <v>1</v>
      </c>
      <c r="AH22" s="17">
        <v>0</v>
      </c>
      <c r="AI22" s="17">
        <v>0.2</v>
      </c>
      <c r="AJ22" s="17">
        <v>0.33300000000000002</v>
      </c>
      <c r="AK22" s="17">
        <v>0.35</v>
      </c>
      <c r="AL22" s="13">
        <f t="shared" ref="AL22:AL24" si="53">IF(N22=1,AH22,IF(N22=2,AI22,IF(N22=3,AJ22,IF(N22&gt;3,AK22,"ошибка"))))</f>
        <v>0</v>
      </c>
      <c r="AM22" s="5">
        <f t="shared" si="27"/>
        <v>10440</v>
      </c>
      <c r="AN22" s="22">
        <v>0</v>
      </c>
      <c r="AO22" s="6">
        <v>0</v>
      </c>
      <c r="AP22" s="25">
        <f t="shared" ref="AP22:AP24" si="54">AM22-AM22*AO22</f>
        <v>10440</v>
      </c>
      <c r="AQ22" s="7"/>
      <c r="AR22" s="8">
        <f t="shared" ref="AR22:AR24" si="55">AP22/AS22*1000</f>
        <v>680.86956521739137</v>
      </c>
      <c r="AS22" s="10">
        <f t="shared" si="30"/>
        <v>15333.333333333332</v>
      </c>
    </row>
    <row r="23" spans="1:45" ht="33.75" customHeight="1">
      <c r="A23" s="63" t="s">
        <v>60</v>
      </c>
      <c r="B23" s="4">
        <v>1</v>
      </c>
      <c r="C23" s="45" t="s">
        <v>70</v>
      </c>
      <c r="D23" s="45" t="s">
        <v>71</v>
      </c>
      <c r="E23" s="44" t="s">
        <v>85</v>
      </c>
      <c r="F23" s="34" t="s">
        <v>55</v>
      </c>
      <c r="G23" s="35" t="s">
        <v>13</v>
      </c>
      <c r="H23" s="23" t="s">
        <v>44</v>
      </c>
      <c r="I23" s="57">
        <v>45717</v>
      </c>
      <c r="J23" s="60">
        <v>45808</v>
      </c>
      <c r="K23" s="3">
        <f t="shared" si="44"/>
        <v>92</v>
      </c>
      <c r="L23" s="11">
        <v>2</v>
      </c>
      <c r="M23" s="12">
        <v>10</v>
      </c>
      <c r="N23" s="4">
        <v>1</v>
      </c>
      <c r="O23" s="58">
        <f t="shared" si="31"/>
        <v>386</v>
      </c>
      <c r="P23" s="5">
        <f t="shared" si="45"/>
        <v>35512</v>
      </c>
      <c r="Q23" s="5">
        <f t="shared" si="46"/>
        <v>1000</v>
      </c>
      <c r="R23" s="5">
        <f t="shared" si="47"/>
        <v>142.85714285714286</v>
      </c>
      <c r="S23" s="5">
        <f t="shared" si="48"/>
        <v>2000</v>
      </c>
      <c r="T23" s="5">
        <f t="shared" si="49"/>
        <v>58.823529411764703</v>
      </c>
      <c r="U23" s="5">
        <f t="shared" si="50"/>
        <v>3000</v>
      </c>
      <c r="V23" s="13">
        <v>1</v>
      </c>
      <c r="W23" s="13">
        <f t="shared" si="23"/>
        <v>1.8</v>
      </c>
      <c r="X23" s="13"/>
      <c r="Y23" s="13"/>
      <c r="Z23" s="13">
        <f t="shared" si="51"/>
        <v>1</v>
      </c>
      <c r="AA23" s="13">
        <v>0.5</v>
      </c>
      <c r="AB23" s="13">
        <v>1</v>
      </c>
      <c r="AC23" s="13">
        <v>1.3</v>
      </c>
      <c r="AD23" s="13">
        <v>1.6</v>
      </c>
      <c r="AE23" s="13">
        <v>1.8</v>
      </c>
      <c r="AF23" s="13">
        <v>2</v>
      </c>
      <c r="AG23" s="13">
        <f t="shared" si="52"/>
        <v>1</v>
      </c>
      <c r="AH23" s="17">
        <v>0</v>
      </c>
      <c r="AI23" s="17">
        <v>0.2</v>
      </c>
      <c r="AJ23" s="17">
        <v>0.33300000000000002</v>
      </c>
      <c r="AK23" s="17">
        <v>0.35</v>
      </c>
      <c r="AL23" s="13">
        <f t="shared" si="53"/>
        <v>0</v>
      </c>
      <c r="AM23" s="5">
        <f t="shared" si="27"/>
        <v>10440</v>
      </c>
      <c r="AN23" s="22">
        <v>0</v>
      </c>
      <c r="AO23" s="6">
        <v>0</v>
      </c>
      <c r="AP23" s="25">
        <f t="shared" si="54"/>
        <v>10440</v>
      </c>
      <c r="AQ23" s="7"/>
      <c r="AR23" s="8">
        <f t="shared" si="55"/>
        <v>680.86956521739137</v>
      </c>
      <c r="AS23" s="10">
        <f t="shared" si="30"/>
        <v>15333.333333333332</v>
      </c>
    </row>
    <row r="24" spans="1:45" ht="33.75" customHeight="1">
      <c r="A24" s="63" t="s">
        <v>61</v>
      </c>
      <c r="B24" s="4">
        <v>1</v>
      </c>
      <c r="C24" s="45" t="s">
        <v>70</v>
      </c>
      <c r="D24" s="45" t="s">
        <v>71</v>
      </c>
      <c r="E24" s="44" t="s">
        <v>77</v>
      </c>
      <c r="F24" s="34" t="s">
        <v>55</v>
      </c>
      <c r="G24" s="35" t="s">
        <v>13</v>
      </c>
      <c r="H24" s="23" t="s">
        <v>44</v>
      </c>
      <c r="I24" s="57">
        <v>45717</v>
      </c>
      <c r="J24" s="60">
        <v>45808</v>
      </c>
      <c r="K24" s="3">
        <f t="shared" si="44"/>
        <v>92</v>
      </c>
      <c r="L24" s="11">
        <v>2</v>
      </c>
      <c r="M24" s="12">
        <v>10</v>
      </c>
      <c r="N24" s="4">
        <v>1</v>
      </c>
      <c r="O24" s="58">
        <f t="shared" si="31"/>
        <v>386</v>
      </c>
      <c r="P24" s="5">
        <f t="shared" si="45"/>
        <v>35512</v>
      </c>
      <c r="Q24" s="5">
        <f t="shared" si="46"/>
        <v>1000</v>
      </c>
      <c r="R24" s="5">
        <f t="shared" si="47"/>
        <v>142.85714285714286</v>
      </c>
      <c r="S24" s="5">
        <f t="shared" si="48"/>
        <v>2000</v>
      </c>
      <c r="T24" s="5">
        <f t="shared" si="49"/>
        <v>58.823529411764703</v>
      </c>
      <c r="U24" s="5">
        <f t="shared" si="50"/>
        <v>3000</v>
      </c>
      <c r="V24" s="13">
        <v>1</v>
      </c>
      <c r="W24" s="13">
        <f t="shared" si="23"/>
        <v>1.8</v>
      </c>
      <c r="X24" s="13"/>
      <c r="Y24" s="13"/>
      <c r="Z24" s="13">
        <f t="shared" si="51"/>
        <v>1</v>
      </c>
      <c r="AA24" s="13">
        <v>0.5</v>
      </c>
      <c r="AB24" s="13">
        <v>1</v>
      </c>
      <c r="AC24" s="13">
        <v>1.3</v>
      </c>
      <c r="AD24" s="13">
        <v>1.6</v>
      </c>
      <c r="AE24" s="13">
        <v>1.8</v>
      </c>
      <c r="AF24" s="13">
        <v>2</v>
      </c>
      <c r="AG24" s="13">
        <f t="shared" si="52"/>
        <v>1</v>
      </c>
      <c r="AH24" s="17">
        <v>0</v>
      </c>
      <c r="AI24" s="17">
        <v>0.2</v>
      </c>
      <c r="AJ24" s="17">
        <v>0.33300000000000002</v>
      </c>
      <c r="AK24" s="17">
        <v>0.35</v>
      </c>
      <c r="AL24" s="13">
        <f t="shared" si="53"/>
        <v>0</v>
      </c>
      <c r="AM24" s="5">
        <f t="shared" si="27"/>
        <v>10440</v>
      </c>
      <c r="AN24" s="22">
        <v>0</v>
      </c>
      <c r="AO24" s="6">
        <v>0</v>
      </c>
      <c r="AP24" s="25">
        <f t="shared" si="54"/>
        <v>10440</v>
      </c>
      <c r="AQ24" s="7"/>
      <c r="AR24" s="8">
        <f t="shared" si="55"/>
        <v>680.86956521739137</v>
      </c>
      <c r="AS24" s="10">
        <f t="shared" si="30"/>
        <v>15333.333333333332</v>
      </c>
    </row>
    <row r="25" spans="1:45" ht="33.75" customHeight="1">
      <c r="A25" s="63" t="s">
        <v>62</v>
      </c>
      <c r="B25" s="4">
        <v>1</v>
      </c>
      <c r="C25" s="45" t="s">
        <v>70</v>
      </c>
      <c r="D25" s="45" t="s">
        <v>71</v>
      </c>
      <c r="E25" s="44" t="s">
        <v>86</v>
      </c>
      <c r="F25" s="36" t="s">
        <v>55</v>
      </c>
      <c r="G25" s="37" t="s">
        <v>13</v>
      </c>
      <c r="H25" s="23" t="s">
        <v>44</v>
      </c>
      <c r="I25" s="57">
        <v>45717</v>
      </c>
      <c r="J25" s="60">
        <v>45808</v>
      </c>
      <c r="K25" s="3">
        <f t="shared" ref="K25:K26" si="56">J25-I25+1</f>
        <v>92</v>
      </c>
      <c r="L25" s="11">
        <v>2</v>
      </c>
      <c r="M25" s="12">
        <v>10</v>
      </c>
      <c r="N25" s="4">
        <v>1</v>
      </c>
      <c r="O25" s="58">
        <f t="shared" si="31"/>
        <v>386</v>
      </c>
      <c r="P25" s="5">
        <f t="shared" ref="P25:P26" si="57">K25*O25</f>
        <v>35512</v>
      </c>
      <c r="Q25" s="5">
        <f t="shared" ref="Q25:Q26" si="58">1000*Z25*AG25*N25</f>
        <v>1000</v>
      </c>
      <c r="R25" s="5">
        <f t="shared" ref="R25:R26" si="59">(S25-Q25)/7</f>
        <v>142.85714285714286</v>
      </c>
      <c r="S25" s="5">
        <f t="shared" ref="S25:S26" si="60">2000*Z25*AG25*N25</f>
        <v>2000</v>
      </c>
      <c r="T25" s="5">
        <f t="shared" ref="T25:T26" si="61">(U25-S25)/(EOMONTH(I25,0)-DATEVALUE(CONCATENATE("01.",MONTH(I25),".",YEAR(I25)))+1-14)</f>
        <v>58.823529411764703</v>
      </c>
      <c r="U25" s="5">
        <f t="shared" ref="U25:U26" si="62">3000*Z25*AG25*N25</f>
        <v>3000</v>
      </c>
      <c r="V25" s="13">
        <v>1</v>
      </c>
      <c r="W25" s="13">
        <f t="shared" si="23"/>
        <v>1.8</v>
      </c>
      <c r="X25" s="13"/>
      <c r="Y25" s="13"/>
      <c r="Z25" s="13">
        <f t="shared" ref="Z25:Z26" si="63">IF(L25=2,V25,W25)</f>
        <v>1</v>
      </c>
      <c r="AA25" s="13">
        <v>0.5</v>
      </c>
      <c r="AB25" s="13">
        <v>1</v>
      </c>
      <c r="AC25" s="13">
        <v>1.3</v>
      </c>
      <c r="AD25" s="13">
        <v>1.6</v>
      </c>
      <c r="AE25" s="13">
        <v>1.8</v>
      </c>
      <c r="AF25" s="13">
        <v>2</v>
      </c>
      <c r="AG25" s="13">
        <f t="shared" ref="AG25:AG26" si="64">IF(M25=5,AA25,IF(M25=10,AB25,IF(M25=15,AC25,IF(M25=20,AD25,IF(M25=25,AE25,IF(M25=30,AF25,"ошибка"))))))</f>
        <v>1</v>
      </c>
      <c r="AH25" s="17">
        <v>0</v>
      </c>
      <c r="AI25" s="17">
        <v>0.2</v>
      </c>
      <c r="AJ25" s="17">
        <v>0.33300000000000002</v>
      </c>
      <c r="AK25" s="17">
        <v>0.35</v>
      </c>
      <c r="AL25" s="13">
        <f t="shared" ref="AL25:AL26" si="65">IF(N25=1,AH25,IF(N25=2,AI25,IF(N25=3,AJ25,IF(N25&gt;3,AK25,"ошибка"))))</f>
        <v>0</v>
      </c>
      <c r="AM25" s="5">
        <f t="shared" si="27"/>
        <v>10440</v>
      </c>
      <c r="AN25" s="22">
        <v>0</v>
      </c>
      <c r="AO25" s="6">
        <v>0</v>
      </c>
      <c r="AP25" s="25">
        <f t="shared" ref="AP25:AP26" si="66">AM25-AM25*AO25</f>
        <v>10440</v>
      </c>
      <c r="AQ25" s="7"/>
      <c r="AR25" s="8">
        <f t="shared" ref="AR25:AR26" si="67">AP25/AS25*1000</f>
        <v>680.86956521739137</v>
      </c>
      <c r="AS25" s="10">
        <f t="shared" ref="AS25:AS26" si="68">5000/30*K25</f>
        <v>15333.333333333332</v>
      </c>
    </row>
    <row r="26" spans="1:45" ht="33.75" customHeight="1">
      <c r="A26" s="63" t="s">
        <v>63</v>
      </c>
      <c r="B26" s="4">
        <v>1</v>
      </c>
      <c r="C26" s="45" t="s">
        <v>70</v>
      </c>
      <c r="D26" s="45" t="s">
        <v>71</v>
      </c>
      <c r="E26" s="44" t="s">
        <v>78</v>
      </c>
      <c r="F26" s="36" t="s">
        <v>55</v>
      </c>
      <c r="G26" s="37" t="s">
        <v>13</v>
      </c>
      <c r="H26" s="23" t="s">
        <v>44</v>
      </c>
      <c r="I26" s="57">
        <v>45717</v>
      </c>
      <c r="J26" s="60">
        <v>45808</v>
      </c>
      <c r="K26" s="3">
        <f t="shared" si="56"/>
        <v>92</v>
      </c>
      <c r="L26" s="11">
        <v>2</v>
      </c>
      <c r="M26" s="12">
        <v>10</v>
      </c>
      <c r="N26" s="4">
        <v>1</v>
      </c>
      <c r="O26" s="58">
        <f t="shared" si="31"/>
        <v>386</v>
      </c>
      <c r="P26" s="5">
        <f t="shared" si="57"/>
        <v>35512</v>
      </c>
      <c r="Q26" s="5">
        <f t="shared" si="58"/>
        <v>1000</v>
      </c>
      <c r="R26" s="5">
        <f t="shared" si="59"/>
        <v>142.85714285714286</v>
      </c>
      <c r="S26" s="5">
        <f t="shared" si="60"/>
        <v>2000</v>
      </c>
      <c r="T26" s="5">
        <f t="shared" si="61"/>
        <v>58.823529411764703</v>
      </c>
      <c r="U26" s="5">
        <f t="shared" si="62"/>
        <v>3000</v>
      </c>
      <c r="V26" s="13">
        <v>1</v>
      </c>
      <c r="W26" s="13">
        <f t="shared" si="23"/>
        <v>1.8</v>
      </c>
      <c r="X26" s="13"/>
      <c r="Y26" s="13"/>
      <c r="Z26" s="13">
        <f t="shared" si="63"/>
        <v>1</v>
      </c>
      <c r="AA26" s="13">
        <v>0.5</v>
      </c>
      <c r="AB26" s="13">
        <v>1</v>
      </c>
      <c r="AC26" s="13">
        <v>1.3</v>
      </c>
      <c r="AD26" s="13">
        <v>1.6</v>
      </c>
      <c r="AE26" s="13">
        <v>1.8</v>
      </c>
      <c r="AF26" s="13">
        <v>2</v>
      </c>
      <c r="AG26" s="13">
        <f t="shared" si="64"/>
        <v>1</v>
      </c>
      <c r="AH26" s="17">
        <v>0</v>
      </c>
      <c r="AI26" s="17">
        <v>0.2</v>
      </c>
      <c r="AJ26" s="17">
        <v>0.33300000000000002</v>
      </c>
      <c r="AK26" s="17">
        <v>0.35</v>
      </c>
      <c r="AL26" s="13">
        <f t="shared" si="65"/>
        <v>0</v>
      </c>
      <c r="AM26" s="5">
        <f t="shared" si="27"/>
        <v>10440</v>
      </c>
      <c r="AN26" s="22">
        <v>0</v>
      </c>
      <c r="AO26" s="6">
        <v>0</v>
      </c>
      <c r="AP26" s="25">
        <f t="shared" si="66"/>
        <v>10440</v>
      </c>
      <c r="AQ26" s="7"/>
      <c r="AR26" s="8">
        <f t="shared" si="67"/>
        <v>680.86956521739137</v>
      </c>
      <c r="AS26" s="10">
        <f t="shared" si="68"/>
        <v>15333.333333333332</v>
      </c>
    </row>
    <row r="27" spans="1:45" ht="33.75" customHeight="1">
      <c r="A27" s="63" t="s">
        <v>64</v>
      </c>
      <c r="B27" s="4">
        <v>1</v>
      </c>
      <c r="C27" s="45"/>
      <c r="D27" s="45" t="s">
        <v>71</v>
      </c>
      <c r="E27" s="44" t="s">
        <v>87</v>
      </c>
      <c r="F27" s="38" t="s">
        <v>55</v>
      </c>
      <c r="G27" s="39" t="s">
        <v>13</v>
      </c>
      <c r="H27" s="23" t="s">
        <v>44</v>
      </c>
      <c r="I27" s="57">
        <v>45717</v>
      </c>
      <c r="J27" s="60">
        <v>45808</v>
      </c>
      <c r="K27" s="3">
        <f t="shared" ref="K27:K28" si="69">J27-I27+1</f>
        <v>92</v>
      </c>
      <c r="L27" s="11">
        <v>2</v>
      </c>
      <c r="M27" s="12">
        <v>10</v>
      </c>
      <c r="N27" s="4">
        <v>1</v>
      </c>
      <c r="O27" s="58">
        <f t="shared" si="31"/>
        <v>386</v>
      </c>
      <c r="P27" s="5">
        <f t="shared" ref="P27:P28" si="70">K27*O27</f>
        <v>35512</v>
      </c>
      <c r="Q27" s="5">
        <f t="shared" ref="Q27:Q28" si="71">1000*Z27*AG27*N27</f>
        <v>1000</v>
      </c>
      <c r="R27" s="5">
        <f t="shared" ref="R27:R28" si="72">(S27-Q27)/7</f>
        <v>142.85714285714286</v>
      </c>
      <c r="S27" s="5">
        <f t="shared" ref="S27:S28" si="73">2000*Z27*AG27*N27</f>
        <v>2000</v>
      </c>
      <c r="T27" s="5">
        <f t="shared" ref="T27:T28" si="74">(U27-S27)/(EOMONTH(I27,0)-DATEVALUE(CONCATENATE("01.",MONTH(I27),".",YEAR(I27)))+1-14)</f>
        <v>58.823529411764703</v>
      </c>
      <c r="U27" s="5">
        <f t="shared" ref="U27:U28" si="75">3000*Z27*AG27*N27</f>
        <v>3000</v>
      </c>
      <c r="V27" s="13">
        <v>1</v>
      </c>
      <c r="W27" s="13">
        <f t="shared" si="23"/>
        <v>1.8</v>
      </c>
      <c r="X27" s="13"/>
      <c r="Y27" s="13"/>
      <c r="Z27" s="13">
        <f t="shared" ref="Z27:Z28" si="76">IF(L27=2,V27,W27)</f>
        <v>1</v>
      </c>
      <c r="AA27" s="13">
        <v>0.5</v>
      </c>
      <c r="AB27" s="13">
        <v>1</v>
      </c>
      <c r="AC27" s="13">
        <v>1.3</v>
      </c>
      <c r="AD27" s="13">
        <v>1.6</v>
      </c>
      <c r="AE27" s="13">
        <v>1.8</v>
      </c>
      <c r="AF27" s="13">
        <v>2</v>
      </c>
      <c r="AG27" s="13">
        <f t="shared" ref="AG27:AG28" si="77">IF(M27=5,AA27,IF(M27=10,AB27,IF(M27=15,AC27,IF(M27=20,AD27,IF(M27=25,AE27,IF(M27=30,AF27,"ошибка"))))))</f>
        <v>1</v>
      </c>
      <c r="AH27" s="17">
        <v>0</v>
      </c>
      <c r="AI27" s="17">
        <v>0.2</v>
      </c>
      <c r="AJ27" s="17">
        <v>0.33300000000000002</v>
      </c>
      <c r="AK27" s="17">
        <v>0.35</v>
      </c>
      <c r="AL27" s="13">
        <f t="shared" ref="AL27:AL28" si="78">IF(N27=1,AH27,IF(N27=2,AI27,IF(N27=3,AJ27,IF(N27&gt;3,AK27,"ошибка"))))</f>
        <v>0</v>
      </c>
      <c r="AM27" s="5">
        <f t="shared" si="27"/>
        <v>10440</v>
      </c>
      <c r="AN27" s="22">
        <v>0</v>
      </c>
      <c r="AO27" s="6">
        <v>0</v>
      </c>
      <c r="AP27" s="25">
        <f t="shared" ref="AP27:AP28" si="79">AM27-AM27*AO27</f>
        <v>10440</v>
      </c>
      <c r="AQ27" s="7"/>
      <c r="AR27" s="8">
        <f t="shared" ref="AR27:AR28" si="80">AP27/AS27*1000</f>
        <v>680.86956521739137</v>
      </c>
      <c r="AS27" s="10">
        <f t="shared" ref="AS27:AS28" si="81">5000/30*K27</f>
        <v>15333.333333333332</v>
      </c>
    </row>
    <row r="28" spans="1:45" ht="33.75" customHeight="1">
      <c r="A28" s="63" t="s">
        <v>65</v>
      </c>
      <c r="B28" s="4">
        <v>1</v>
      </c>
      <c r="C28" s="45" t="s">
        <v>70</v>
      </c>
      <c r="D28" s="45" t="s">
        <v>71</v>
      </c>
      <c r="E28" s="44" t="s">
        <v>88</v>
      </c>
      <c r="F28" s="38" t="s">
        <v>55</v>
      </c>
      <c r="G28" s="39" t="s">
        <v>13</v>
      </c>
      <c r="H28" s="23" t="s">
        <v>44</v>
      </c>
      <c r="I28" s="57">
        <v>45717</v>
      </c>
      <c r="J28" s="60">
        <v>45808</v>
      </c>
      <c r="K28" s="3">
        <f t="shared" si="69"/>
        <v>92</v>
      </c>
      <c r="L28" s="11">
        <v>2</v>
      </c>
      <c r="M28" s="12">
        <v>10</v>
      </c>
      <c r="N28" s="4">
        <v>1</v>
      </c>
      <c r="O28" s="58">
        <f t="shared" si="31"/>
        <v>386</v>
      </c>
      <c r="P28" s="5">
        <f t="shared" si="70"/>
        <v>35512</v>
      </c>
      <c r="Q28" s="5">
        <f t="shared" si="71"/>
        <v>1000</v>
      </c>
      <c r="R28" s="5">
        <f t="shared" si="72"/>
        <v>142.85714285714286</v>
      </c>
      <c r="S28" s="5">
        <f t="shared" si="73"/>
        <v>2000</v>
      </c>
      <c r="T28" s="5">
        <f t="shared" si="74"/>
        <v>58.823529411764703</v>
      </c>
      <c r="U28" s="5">
        <f t="shared" si="75"/>
        <v>3000</v>
      </c>
      <c r="V28" s="13">
        <v>1</v>
      </c>
      <c r="W28" s="13">
        <f t="shared" si="23"/>
        <v>1.8</v>
      </c>
      <c r="X28" s="13"/>
      <c r="Y28" s="13"/>
      <c r="Z28" s="13">
        <f t="shared" si="76"/>
        <v>1</v>
      </c>
      <c r="AA28" s="13">
        <v>0.5</v>
      </c>
      <c r="AB28" s="13">
        <v>1</v>
      </c>
      <c r="AC28" s="13">
        <v>1.3</v>
      </c>
      <c r="AD28" s="13">
        <v>1.6</v>
      </c>
      <c r="AE28" s="13">
        <v>1.8</v>
      </c>
      <c r="AF28" s="13">
        <v>2</v>
      </c>
      <c r="AG28" s="13">
        <f t="shared" si="77"/>
        <v>1</v>
      </c>
      <c r="AH28" s="17">
        <v>0</v>
      </c>
      <c r="AI28" s="17">
        <v>0.2</v>
      </c>
      <c r="AJ28" s="17">
        <v>0.33300000000000002</v>
      </c>
      <c r="AK28" s="17">
        <v>0.35</v>
      </c>
      <c r="AL28" s="13">
        <f t="shared" si="78"/>
        <v>0</v>
      </c>
      <c r="AM28" s="5">
        <f t="shared" si="27"/>
        <v>10440</v>
      </c>
      <c r="AN28" s="22">
        <v>0</v>
      </c>
      <c r="AO28" s="6">
        <v>0</v>
      </c>
      <c r="AP28" s="25">
        <f t="shared" si="79"/>
        <v>10440</v>
      </c>
      <c r="AQ28" s="7"/>
      <c r="AR28" s="8">
        <f t="shared" si="80"/>
        <v>680.86956521739137</v>
      </c>
      <c r="AS28" s="10">
        <f t="shared" si="81"/>
        <v>15333.333333333332</v>
      </c>
    </row>
    <row r="29" spans="1:45" ht="33.75" customHeight="1">
      <c r="A29" s="63" t="s">
        <v>91</v>
      </c>
      <c r="B29" s="4">
        <v>1</v>
      </c>
      <c r="C29" s="45"/>
      <c r="D29" s="45" t="s">
        <v>71</v>
      </c>
      <c r="E29" s="44" t="s">
        <v>79</v>
      </c>
      <c r="F29" s="40" t="s">
        <v>55</v>
      </c>
      <c r="G29" s="43" t="s">
        <v>13</v>
      </c>
      <c r="H29" s="23" t="s">
        <v>44</v>
      </c>
      <c r="I29" s="57">
        <v>45717</v>
      </c>
      <c r="J29" s="60">
        <v>45808</v>
      </c>
      <c r="K29" s="3">
        <f t="shared" ref="K29" si="82">J29-I29+1</f>
        <v>92</v>
      </c>
      <c r="L29" s="11">
        <v>2</v>
      </c>
      <c r="M29" s="12">
        <v>10</v>
      </c>
      <c r="N29" s="4">
        <v>1</v>
      </c>
      <c r="O29" s="58">
        <f t="shared" ref="O29" si="83">ROUND(IF(L29=2,(6*13*30+1*12*30)/7*N29,(6*13*30+1*12*30)/7*N29*2),0)</f>
        <v>386</v>
      </c>
      <c r="P29" s="5">
        <f t="shared" ref="P29" si="84">K29*O29</f>
        <v>35512</v>
      </c>
      <c r="Q29" s="5">
        <f t="shared" ref="Q29" si="85">1000*Z29*AG29*N29</f>
        <v>1000</v>
      </c>
      <c r="R29" s="5">
        <f t="shared" ref="R29" si="86">(S29-Q29)/7</f>
        <v>142.85714285714286</v>
      </c>
      <c r="S29" s="5">
        <f t="shared" ref="S29" si="87">2000*Z29*AG29*N29</f>
        <v>2000</v>
      </c>
      <c r="T29" s="5">
        <f t="shared" ref="T29" si="88">(U29-S29)/(EOMONTH(I29,0)-DATEVALUE(CONCATENATE("01.",MONTH(I29),".",YEAR(I29)))+1-14)</f>
        <v>58.823529411764703</v>
      </c>
      <c r="U29" s="5">
        <f t="shared" ref="U29" si="89">3000*Z29*AG29*N29</f>
        <v>3000</v>
      </c>
      <c r="V29" s="13">
        <v>1</v>
      </c>
      <c r="W29" s="13">
        <f t="shared" si="23"/>
        <v>1.8</v>
      </c>
      <c r="X29" s="13"/>
      <c r="Y29" s="13"/>
      <c r="Z29" s="13">
        <f t="shared" ref="Z29" si="90">IF(L29=2,V29,W29)</f>
        <v>1</v>
      </c>
      <c r="AA29" s="13">
        <v>0.5</v>
      </c>
      <c r="AB29" s="13">
        <v>1</v>
      </c>
      <c r="AC29" s="13">
        <v>1.3</v>
      </c>
      <c r="AD29" s="13">
        <v>1.6</v>
      </c>
      <c r="AE29" s="13">
        <v>1.8</v>
      </c>
      <c r="AF29" s="13">
        <v>2</v>
      </c>
      <c r="AG29" s="13">
        <f t="shared" ref="AG29" si="91">IF(M29=5,AA29,IF(M29=10,AB29,IF(M29=15,AC29,IF(M29=20,AD29,IF(M29=25,AE29,IF(M29=30,AF29,"ошибка"))))))</f>
        <v>1</v>
      </c>
      <c r="AH29" s="17">
        <v>0</v>
      </c>
      <c r="AI29" s="17">
        <v>0.2</v>
      </c>
      <c r="AJ29" s="17">
        <v>0.33300000000000002</v>
      </c>
      <c r="AK29" s="17">
        <v>0.35</v>
      </c>
      <c r="AL29" s="13">
        <f t="shared" ref="AL29" si="92">IF(N29=1,AH29,IF(N29=2,AI29,IF(N29=3,AJ29,IF(N29&gt;3,AK29,"ошибка"))))</f>
        <v>0</v>
      </c>
      <c r="AM29" s="5">
        <f t="shared" si="27"/>
        <v>10440</v>
      </c>
      <c r="AN29" s="22">
        <v>0</v>
      </c>
      <c r="AO29" s="6">
        <v>0</v>
      </c>
      <c r="AP29" s="25">
        <f t="shared" ref="AP29" si="93">AM29-AM29*AO29</f>
        <v>10440</v>
      </c>
      <c r="AQ29" s="7"/>
      <c r="AR29" s="8">
        <f t="shared" ref="AR29" si="94">AP29/AS29*1000</f>
        <v>680.86956521739137</v>
      </c>
      <c r="AS29" s="10">
        <f t="shared" ref="AS29" si="95">5000/30*K29</f>
        <v>15333.333333333332</v>
      </c>
    </row>
    <row r="30" spans="1:45" ht="33.75" customHeight="1">
      <c r="A30" s="63" t="s">
        <v>68</v>
      </c>
      <c r="B30" s="4">
        <v>1</v>
      </c>
      <c r="C30" s="45"/>
      <c r="D30" s="45" t="s">
        <v>71</v>
      </c>
      <c r="E30" s="44" t="s">
        <v>80</v>
      </c>
      <c r="F30" s="40" t="s">
        <v>55</v>
      </c>
      <c r="G30" s="43" t="s">
        <v>13</v>
      </c>
      <c r="H30" s="23" t="s">
        <v>44</v>
      </c>
      <c r="I30" s="57">
        <v>45717</v>
      </c>
      <c r="J30" s="60">
        <v>45808</v>
      </c>
      <c r="K30" s="3">
        <f t="shared" ref="K30" si="96">J30-I30+1</f>
        <v>92</v>
      </c>
      <c r="L30" s="11">
        <v>2</v>
      </c>
      <c r="M30" s="12">
        <v>10</v>
      </c>
      <c r="N30" s="4">
        <v>1</v>
      </c>
      <c r="O30" s="58">
        <f t="shared" ref="O30" si="97">ROUND(IF(L30=2,(6*13*30+1*12*30)/7*N30,(6*13*30+1*12*30)/7*N30*2),0)</f>
        <v>386</v>
      </c>
      <c r="P30" s="5">
        <f t="shared" ref="P30" si="98">K30*O30</f>
        <v>35512</v>
      </c>
      <c r="Q30" s="5">
        <f t="shared" ref="Q30" si="99">1000*Z30*AG30*N30</f>
        <v>1000</v>
      </c>
      <c r="R30" s="5">
        <f t="shared" ref="R30" si="100">(S30-Q30)/7</f>
        <v>142.85714285714286</v>
      </c>
      <c r="S30" s="5">
        <f t="shared" ref="S30" si="101">2000*Z30*AG30*N30</f>
        <v>2000</v>
      </c>
      <c r="T30" s="5">
        <f t="shared" ref="T30" si="102">(U30-S30)/(EOMONTH(I30,0)-DATEVALUE(CONCATENATE("01.",MONTH(I30),".",YEAR(I30)))+1-14)</f>
        <v>58.823529411764703</v>
      </c>
      <c r="U30" s="5">
        <f t="shared" ref="U30" si="103">3000*Z30*AG30*N30</f>
        <v>3000</v>
      </c>
      <c r="V30" s="13">
        <v>1</v>
      </c>
      <c r="W30" s="13">
        <f t="shared" si="23"/>
        <v>1.8</v>
      </c>
      <c r="X30" s="13"/>
      <c r="Y30" s="13"/>
      <c r="Z30" s="13">
        <f t="shared" ref="Z30" si="104">IF(L30=2,V30,W30)</f>
        <v>1</v>
      </c>
      <c r="AA30" s="13">
        <v>0.5</v>
      </c>
      <c r="AB30" s="13">
        <v>1</v>
      </c>
      <c r="AC30" s="13">
        <v>1.3</v>
      </c>
      <c r="AD30" s="13">
        <v>1.6</v>
      </c>
      <c r="AE30" s="13">
        <v>1.8</v>
      </c>
      <c r="AF30" s="13">
        <v>2</v>
      </c>
      <c r="AG30" s="13">
        <f t="shared" ref="AG30" si="105">IF(M30=5,AA30,IF(M30=10,AB30,IF(M30=15,AC30,IF(M30=20,AD30,IF(M30=25,AE30,IF(M30=30,AF30,"ошибка"))))))</f>
        <v>1</v>
      </c>
      <c r="AH30" s="17">
        <v>0</v>
      </c>
      <c r="AI30" s="17">
        <v>0.2</v>
      </c>
      <c r="AJ30" s="17">
        <v>0.33300000000000002</v>
      </c>
      <c r="AK30" s="17">
        <v>0.35</v>
      </c>
      <c r="AL30" s="13">
        <f t="shared" ref="AL30" si="106">IF(N30=1,AH30,IF(N30=2,AI30,IF(N30=3,AJ30,IF(N30&gt;3,AK30,"ошибка"))))</f>
        <v>0</v>
      </c>
      <c r="AM30" s="5">
        <f t="shared" si="27"/>
        <v>10440</v>
      </c>
      <c r="AN30" s="22">
        <v>0</v>
      </c>
      <c r="AO30" s="6">
        <v>0</v>
      </c>
      <c r="AP30" s="25">
        <f t="shared" ref="AP30:AP34" si="107">AM30-AM30*AO30</f>
        <v>10440</v>
      </c>
      <c r="AQ30" s="7"/>
      <c r="AR30" s="8">
        <f t="shared" ref="AR30" si="108">AP30/AS30*1000</f>
        <v>680.86956521739137</v>
      </c>
      <c r="AS30" s="10">
        <f t="shared" ref="AS30" si="109">5000/30*K30</f>
        <v>15333.333333333332</v>
      </c>
    </row>
    <row r="31" spans="1:45" ht="33.75" customHeight="1">
      <c r="A31" s="40" t="s">
        <v>93</v>
      </c>
      <c r="B31" s="4">
        <v>1</v>
      </c>
      <c r="C31" s="45"/>
      <c r="D31" s="45"/>
      <c r="E31" s="44"/>
      <c r="F31" s="40" t="s">
        <v>55</v>
      </c>
      <c r="G31" s="61" t="s">
        <v>13</v>
      </c>
      <c r="H31" s="23" t="s">
        <v>44</v>
      </c>
      <c r="I31" s="57">
        <v>45717</v>
      </c>
      <c r="J31" s="60">
        <v>45808</v>
      </c>
      <c r="K31" s="3">
        <f t="shared" ref="K31:K34" si="110">J31-I31+1</f>
        <v>92</v>
      </c>
      <c r="L31" s="11">
        <v>2</v>
      </c>
      <c r="M31" s="12">
        <v>10</v>
      </c>
      <c r="N31" s="4">
        <v>1</v>
      </c>
      <c r="O31" s="58">
        <f t="shared" ref="O31:O34" si="111">ROUND(IF(L31=2,(6*13*30+1*12*30)/7*N31,(6*13*30+1*12*30)/7*N31*2),0)</f>
        <v>386</v>
      </c>
      <c r="P31" s="5">
        <f t="shared" ref="P31:P34" si="112">K31*O31</f>
        <v>35512</v>
      </c>
      <c r="Q31" s="5">
        <f t="shared" ref="Q31:Q34" si="113">1000*Z31*AG31*N31</f>
        <v>1000</v>
      </c>
      <c r="R31" s="5">
        <f t="shared" ref="R31:R34" si="114">(S31-Q31)/7</f>
        <v>142.85714285714286</v>
      </c>
      <c r="S31" s="5">
        <f t="shared" ref="S31:S34" si="115">2000*Z31*AG31*N31</f>
        <v>2000</v>
      </c>
      <c r="T31" s="5">
        <f t="shared" ref="T31:T34" si="116">(U31-S31)/(EOMONTH(I31,0)-DATEVALUE(CONCATENATE("01.",MONTH(I31),".",YEAR(I31)))+1-14)</f>
        <v>58.823529411764703</v>
      </c>
      <c r="U31" s="5">
        <f t="shared" ref="U31:U34" si="117">3000*Z31*AG31*N31</f>
        <v>3000</v>
      </c>
      <c r="V31" s="13">
        <v>1</v>
      </c>
      <c r="W31" s="13">
        <f t="shared" si="23"/>
        <v>1.8</v>
      </c>
      <c r="X31" s="13"/>
      <c r="Y31" s="13"/>
      <c r="Z31" s="13">
        <f t="shared" ref="Z31:Z34" si="118">IF(L31=2,V31,W31)</f>
        <v>1</v>
      </c>
      <c r="AA31" s="13">
        <v>0.5</v>
      </c>
      <c r="AB31" s="13">
        <v>1</v>
      </c>
      <c r="AC31" s="13">
        <v>1.3</v>
      </c>
      <c r="AD31" s="13">
        <v>1.6</v>
      </c>
      <c r="AE31" s="13">
        <v>1.8</v>
      </c>
      <c r="AF31" s="13">
        <v>2</v>
      </c>
      <c r="AG31" s="13">
        <f t="shared" ref="AG31:AG34" si="119">IF(M31=5,AA31,IF(M31=10,AB31,IF(M31=15,AC31,IF(M31=20,AD31,IF(M31=25,AE31,IF(M31=30,AF31,"ошибка"))))))</f>
        <v>1</v>
      </c>
      <c r="AH31" s="17">
        <v>0</v>
      </c>
      <c r="AI31" s="17">
        <v>0.2</v>
      </c>
      <c r="AJ31" s="17">
        <v>0.33300000000000002</v>
      </c>
      <c r="AK31" s="17">
        <v>0.35</v>
      </c>
      <c r="AL31" s="13">
        <f t="shared" ref="AL31:AL34" si="120">IF(N31=1,AH31,IF(N31=2,AI31,IF(N31=3,AJ31,IF(N31&gt;3,AK31,"ошибка"))))</f>
        <v>0</v>
      </c>
      <c r="AM31" s="5">
        <f t="shared" si="27"/>
        <v>10440</v>
      </c>
      <c r="AN31" s="22">
        <v>0</v>
      </c>
      <c r="AO31" s="6">
        <v>0</v>
      </c>
      <c r="AP31" s="25">
        <f t="shared" si="107"/>
        <v>10440</v>
      </c>
      <c r="AQ31" s="7"/>
      <c r="AR31" s="8">
        <f t="shared" ref="AR31:AR35" si="121">AP31/AS31*1000</f>
        <v>680.86956521739137</v>
      </c>
      <c r="AS31" s="10">
        <f t="shared" ref="AS31:AS35" si="122">5000/30*K31</f>
        <v>15333.333333333332</v>
      </c>
    </row>
    <row r="32" spans="1:45" ht="33.75" customHeight="1">
      <c r="A32" s="40" t="s">
        <v>94</v>
      </c>
      <c r="B32" s="4">
        <v>1</v>
      </c>
      <c r="C32" s="45"/>
      <c r="D32" s="45"/>
      <c r="E32" s="44"/>
      <c r="F32" s="40" t="s">
        <v>55</v>
      </c>
      <c r="G32" s="61" t="s">
        <v>13</v>
      </c>
      <c r="H32" s="23" t="s">
        <v>44</v>
      </c>
      <c r="I32" s="57">
        <v>45717</v>
      </c>
      <c r="J32" s="60">
        <v>45808</v>
      </c>
      <c r="K32" s="3">
        <f t="shared" si="110"/>
        <v>92</v>
      </c>
      <c r="L32" s="11">
        <v>2</v>
      </c>
      <c r="M32" s="12">
        <v>10</v>
      </c>
      <c r="N32" s="4">
        <v>1</v>
      </c>
      <c r="O32" s="58">
        <f t="shared" si="111"/>
        <v>386</v>
      </c>
      <c r="P32" s="5">
        <f t="shared" si="112"/>
        <v>35512</v>
      </c>
      <c r="Q32" s="5">
        <f t="shared" si="113"/>
        <v>1000</v>
      </c>
      <c r="R32" s="5">
        <f t="shared" si="114"/>
        <v>142.85714285714286</v>
      </c>
      <c r="S32" s="5">
        <f t="shared" si="115"/>
        <v>2000</v>
      </c>
      <c r="T32" s="5">
        <f t="shared" si="116"/>
        <v>58.823529411764703</v>
      </c>
      <c r="U32" s="5">
        <f t="shared" si="117"/>
        <v>3000</v>
      </c>
      <c r="V32" s="13">
        <v>1</v>
      </c>
      <c r="W32" s="13">
        <f t="shared" si="23"/>
        <v>1.8</v>
      </c>
      <c r="X32" s="13"/>
      <c r="Y32" s="13"/>
      <c r="Z32" s="13">
        <f t="shared" si="118"/>
        <v>1</v>
      </c>
      <c r="AA32" s="13">
        <v>0.5</v>
      </c>
      <c r="AB32" s="13">
        <v>1</v>
      </c>
      <c r="AC32" s="13">
        <v>1.3</v>
      </c>
      <c r="AD32" s="13">
        <v>1.6</v>
      </c>
      <c r="AE32" s="13">
        <v>1.8</v>
      </c>
      <c r="AF32" s="13">
        <v>2</v>
      </c>
      <c r="AG32" s="13">
        <f t="shared" si="119"/>
        <v>1</v>
      </c>
      <c r="AH32" s="17">
        <v>0</v>
      </c>
      <c r="AI32" s="17">
        <v>0.2</v>
      </c>
      <c r="AJ32" s="17">
        <v>0.33300000000000002</v>
      </c>
      <c r="AK32" s="17">
        <v>0.35</v>
      </c>
      <c r="AL32" s="13">
        <f t="shared" si="120"/>
        <v>0</v>
      </c>
      <c r="AM32" s="5">
        <f t="shared" si="27"/>
        <v>10440</v>
      </c>
      <c r="AN32" s="22">
        <v>0</v>
      </c>
      <c r="AO32" s="6">
        <v>0</v>
      </c>
      <c r="AP32" s="25">
        <f t="shared" si="107"/>
        <v>10440</v>
      </c>
      <c r="AQ32" s="7"/>
      <c r="AR32" s="8">
        <f t="shared" si="121"/>
        <v>680.86956521739137</v>
      </c>
      <c r="AS32" s="10">
        <f t="shared" si="122"/>
        <v>15333.333333333332</v>
      </c>
    </row>
    <row r="33" spans="1:45" ht="33.75" customHeight="1">
      <c r="A33" s="40" t="s">
        <v>96</v>
      </c>
      <c r="B33" s="4">
        <v>1</v>
      </c>
      <c r="C33" s="45"/>
      <c r="D33" s="45"/>
      <c r="E33" s="44"/>
      <c r="F33" s="40" t="s">
        <v>55</v>
      </c>
      <c r="G33" s="61" t="s">
        <v>13</v>
      </c>
      <c r="H33" s="23" t="s">
        <v>44</v>
      </c>
      <c r="I33" s="57">
        <v>45717</v>
      </c>
      <c r="J33" s="60">
        <v>45808</v>
      </c>
      <c r="K33" s="3">
        <f t="shared" si="110"/>
        <v>92</v>
      </c>
      <c r="L33" s="11">
        <v>2</v>
      </c>
      <c r="M33" s="12">
        <v>10</v>
      </c>
      <c r="N33" s="4">
        <v>1</v>
      </c>
      <c r="O33" s="58">
        <f t="shared" si="111"/>
        <v>386</v>
      </c>
      <c r="P33" s="5">
        <f t="shared" si="112"/>
        <v>35512</v>
      </c>
      <c r="Q33" s="5">
        <f t="shared" si="113"/>
        <v>1000</v>
      </c>
      <c r="R33" s="5">
        <f t="shared" si="114"/>
        <v>142.85714285714286</v>
      </c>
      <c r="S33" s="5">
        <f t="shared" si="115"/>
        <v>2000</v>
      </c>
      <c r="T33" s="5">
        <f t="shared" si="116"/>
        <v>58.823529411764703</v>
      </c>
      <c r="U33" s="5">
        <f t="shared" si="117"/>
        <v>3000</v>
      </c>
      <c r="V33" s="13">
        <v>1</v>
      </c>
      <c r="W33" s="13">
        <f t="shared" si="23"/>
        <v>1.8</v>
      </c>
      <c r="X33" s="13"/>
      <c r="Y33" s="13"/>
      <c r="Z33" s="13">
        <f t="shared" si="118"/>
        <v>1</v>
      </c>
      <c r="AA33" s="13">
        <v>0.5</v>
      </c>
      <c r="AB33" s="13">
        <v>1</v>
      </c>
      <c r="AC33" s="13">
        <v>1.3</v>
      </c>
      <c r="AD33" s="13">
        <v>1.6</v>
      </c>
      <c r="AE33" s="13">
        <v>1.8</v>
      </c>
      <c r="AF33" s="13">
        <v>2</v>
      </c>
      <c r="AG33" s="13">
        <f t="shared" si="119"/>
        <v>1</v>
      </c>
      <c r="AH33" s="17">
        <v>0</v>
      </c>
      <c r="AI33" s="17">
        <v>0.2</v>
      </c>
      <c r="AJ33" s="17">
        <v>0.33300000000000002</v>
      </c>
      <c r="AK33" s="17">
        <v>0.35</v>
      </c>
      <c r="AL33" s="13">
        <f t="shared" si="120"/>
        <v>0</v>
      </c>
      <c r="AM33" s="5">
        <f t="shared" si="27"/>
        <v>10440</v>
      </c>
      <c r="AN33" s="22">
        <v>0</v>
      </c>
      <c r="AO33" s="6">
        <v>0</v>
      </c>
      <c r="AP33" s="25">
        <f t="shared" si="107"/>
        <v>10440</v>
      </c>
      <c r="AQ33" s="7"/>
      <c r="AR33" s="8">
        <f t="shared" si="121"/>
        <v>680.86956521739137</v>
      </c>
      <c r="AS33" s="10">
        <f t="shared" si="122"/>
        <v>15333.333333333332</v>
      </c>
    </row>
    <row r="34" spans="1:45" ht="33.75" customHeight="1">
      <c r="A34" s="40" t="s">
        <v>95</v>
      </c>
      <c r="B34" s="4">
        <v>1</v>
      </c>
      <c r="C34" s="45"/>
      <c r="D34" s="45"/>
      <c r="E34" s="44"/>
      <c r="F34" s="40" t="s">
        <v>55</v>
      </c>
      <c r="G34" s="61" t="s">
        <v>13</v>
      </c>
      <c r="H34" s="23" t="s">
        <v>44</v>
      </c>
      <c r="I34" s="57">
        <v>45717</v>
      </c>
      <c r="J34" s="60">
        <v>45808</v>
      </c>
      <c r="K34" s="3">
        <f t="shared" si="110"/>
        <v>92</v>
      </c>
      <c r="L34" s="11">
        <v>2</v>
      </c>
      <c r="M34" s="12">
        <v>10</v>
      </c>
      <c r="N34" s="4">
        <v>1</v>
      </c>
      <c r="O34" s="58">
        <f t="shared" si="111"/>
        <v>386</v>
      </c>
      <c r="P34" s="5">
        <f t="shared" si="112"/>
        <v>35512</v>
      </c>
      <c r="Q34" s="5">
        <f t="shared" si="113"/>
        <v>1000</v>
      </c>
      <c r="R34" s="5">
        <f t="shared" si="114"/>
        <v>142.85714285714286</v>
      </c>
      <c r="S34" s="5">
        <f t="shared" si="115"/>
        <v>2000</v>
      </c>
      <c r="T34" s="5">
        <f t="shared" si="116"/>
        <v>58.823529411764703</v>
      </c>
      <c r="U34" s="5">
        <f t="shared" si="117"/>
        <v>3000</v>
      </c>
      <c r="V34" s="13">
        <v>1</v>
      </c>
      <c r="W34" s="13">
        <f t="shared" si="23"/>
        <v>1.8</v>
      </c>
      <c r="X34" s="13"/>
      <c r="Y34" s="13"/>
      <c r="Z34" s="13">
        <f t="shared" si="118"/>
        <v>1</v>
      </c>
      <c r="AA34" s="13">
        <v>0.5</v>
      </c>
      <c r="AB34" s="13">
        <v>1</v>
      </c>
      <c r="AC34" s="13">
        <v>1.3</v>
      </c>
      <c r="AD34" s="13">
        <v>1.6</v>
      </c>
      <c r="AE34" s="13">
        <v>1.8</v>
      </c>
      <c r="AF34" s="13">
        <v>2</v>
      </c>
      <c r="AG34" s="13">
        <f t="shared" si="119"/>
        <v>1</v>
      </c>
      <c r="AH34" s="17">
        <v>0</v>
      </c>
      <c r="AI34" s="17">
        <v>0.2</v>
      </c>
      <c r="AJ34" s="17">
        <v>0.33300000000000002</v>
      </c>
      <c r="AK34" s="17">
        <v>0.35</v>
      </c>
      <c r="AL34" s="13">
        <f t="shared" si="120"/>
        <v>0</v>
      </c>
      <c r="AM34" s="5">
        <f t="shared" si="27"/>
        <v>10440</v>
      </c>
      <c r="AN34" s="22">
        <v>0</v>
      </c>
      <c r="AO34" s="6">
        <v>0</v>
      </c>
      <c r="AP34" s="25">
        <f t="shared" si="107"/>
        <v>10440</v>
      </c>
      <c r="AQ34" s="7"/>
      <c r="AR34" s="8">
        <f t="shared" si="121"/>
        <v>680.86956521739137</v>
      </c>
      <c r="AS34" s="10">
        <f t="shared" si="122"/>
        <v>15333.333333333332</v>
      </c>
    </row>
    <row r="35" spans="1:45" ht="33.75" customHeight="1">
      <c r="A35" s="63" t="s">
        <v>69</v>
      </c>
      <c r="B35" s="4">
        <v>1</v>
      </c>
      <c r="C35" s="45"/>
      <c r="D35" s="45" t="s">
        <v>71</v>
      </c>
      <c r="E35" s="44" t="s">
        <v>89</v>
      </c>
      <c r="F35" s="40" t="s">
        <v>55</v>
      </c>
      <c r="G35" s="61" t="s">
        <v>13</v>
      </c>
      <c r="H35" s="23" t="s">
        <v>44</v>
      </c>
      <c r="I35" s="57">
        <v>45717</v>
      </c>
      <c r="J35" s="60">
        <v>45808</v>
      </c>
      <c r="K35" s="3">
        <f t="shared" ref="K35" si="123">J35-I35+1</f>
        <v>92</v>
      </c>
      <c r="L35" s="11">
        <v>2</v>
      </c>
      <c r="M35" s="12">
        <v>10</v>
      </c>
      <c r="N35" s="4">
        <v>1</v>
      </c>
      <c r="O35" s="58">
        <f t="shared" ref="O35" si="124">ROUND(IF(L35=2,(6*13*30+1*12*30)/7*N35,(6*13*30+1*12*30)/7*N35*2),0)</f>
        <v>386</v>
      </c>
      <c r="P35" s="5">
        <f t="shared" ref="P35" si="125">K35*O35</f>
        <v>35512</v>
      </c>
      <c r="Q35" s="5">
        <f t="shared" ref="Q35" si="126">1000*Z35*AG35*N35</f>
        <v>1000</v>
      </c>
      <c r="R35" s="5">
        <f t="shared" ref="R35" si="127">(S35-Q35)/7</f>
        <v>142.85714285714286</v>
      </c>
      <c r="S35" s="5">
        <f t="shared" ref="S35" si="128">2000*Z35*AG35*N35</f>
        <v>2000</v>
      </c>
      <c r="T35" s="5">
        <f t="shared" ref="T35" si="129">(U35-S35)/(EOMONTH(I35,0)-DATEVALUE(CONCATENATE("01.",MONTH(I35),".",YEAR(I35)))+1-14)</f>
        <v>58.823529411764703</v>
      </c>
      <c r="U35" s="5">
        <f t="shared" ref="U35" si="130">3000*Z35*AG35*N35</f>
        <v>3000</v>
      </c>
      <c r="V35" s="13">
        <v>1</v>
      </c>
      <c r="W35" s="13">
        <f t="shared" si="23"/>
        <v>1.8</v>
      </c>
      <c r="X35" s="13"/>
      <c r="Y35" s="13"/>
      <c r="Z35" s="13">
        <f t="shared" ref="Z35" si="131">IF(L35=2,V35,W35)</f>
        <v>1</v>
      </c>
      <c r="AA35" s="13">
        <v>0.5</v>
      </c>
      <c r="AB35" s="13">
        <v>1</v>
      </c>
      <c r="AC35" s="13">
        <v>1.3</v>
      </c>
      <c r="AD35" s="13">
        <v>1.6</v>
      </c>
      <c r="AE35" s="13">
        <v>1.8</v>
      </c>
      <c r="AF35" s="13">
        <v>2</v>
      </c>
      <c r="AG35" s="13">
        <f t="shared" ref="AG35" si="132">IF(M35=5,AA35,IF(M35=10,AB35,IF(M35=15,AC35,IF(M35=20,AD35,IF(M35=25,AE35,IF(M35=30,AF35,"ошибка"))))))</f>
        <v>1</v>
      </c>
      <c r="AH35" s="17">
        <v>0</v>
      </c>
      <c r="AI35" s="17">
        <v>0.2</v>
      </c>
      <c r="AJ35" s="17">
        <v>0.33300000000000002</v>
      </c>
      <c r="AK35" s="17">
        <v>0.35</v>
      </c>
      <c r="AL35" s="13">
        <f t="shared" ref="AL35" si="133">IF(N35=1,AH35,IF(N35=2,AI35,IF(N35=3,AJ35,IF(N35&gt;3,AK35,"ошибка"))))</f>
        <v>0</v>
      </c>
      <c r="AM35" s="5">
        <f t="shared" si="27"/>
        <v>10440</v>
      </c>
      <c r="AN35" s="22">
        <v>0</v>
      </c>
      <c r="AO35" s="6">
        <v>0</v>
      </c>
      <c r="AP35" s="25">
        <f t="shared" ref="AP35" si="134">AM35-AM35*AO35</f>
        <v>10440</v>
      </c>
      <c r="AQ35" s="7"/>
      <c r="AR35" s="8">
        <f t="shared" si="121"/>
        <v>680.86956521739137</v>
      </c>
      <c r="AS35" s="10">
        <f t="shared" si="122"/>
        <v>15333.333333333332</v>
      </c>
    </row>
  </sheetData>
  <sheetProtection formatCells="0" formatRows="0" deleteRows="0"/>
  <dataValidations xWindow="1304" yWindow="671" count="3">
    <dataValidation type="list" allowBlank="1" showInputMessage="1" showErrorMessage="1" promptTitle="Сколько раз ролик выходит в блок" prompt="Доступны варианты от 1 до 10._x000a_Весь эфир = ролик 30 сек * 10 выходов = 300 сек (5 минут)" sqref="N13:N35">
      <formula1>$P$1:$P$10</formula1>
    </dataValidation>
    <dataValidation type="list" allowBlank="1" showInputMessage="1" showErrorMessage="1" promptTitle="Укажите длительность ролика" prompt="Доступны варианты - 5, 10, 15, 20, 25, 30 секунд._x000a_БОльший хрон считается через количество выходов в блоке._x000a_Коэффициенты _x000a_5 секу - 0,5._x000a_10 сек - 1._x000a_15 сек - 1,3._x000a_20 сек - 1,6_x000a_25 сек - 1,8_x000a_30 сек - 2" sqref="M13:M35">
      <formula1>$N$4:$N$9</formula1>
    </dataValidation>
    <dataValidation type="list" allowBlank="1" showInputMessage="1" showErrorMessage="1" promptTitle="Выберете размер рекламного блока" prompt="Доступные варианты 1 или 2 минуты._x000a__x000a_Коэффициент блока 2 минуты - 1._x000a_Коэффициент блока 1 минута - 1,8." sqref="L13:L35">
      <formula1>$M$7:$M$8</formula1>
    </dataValidation>
  </dataValidations>
  <hyperlinks>
    <hyperlink ref="D35" r:id="rId1"/>
    <hyperlink ref="D30" r:id="rId2"/>
    <hyperlink ref="D29" r:id="rId3"/>
    <hyperlink ref="E35" r:id="rId4"/>
    <hyperlink ref="E30" r:id="rId5"/>
    <hyperlink ref="E29" r:id="rId6"/>
    <hyperlink ref="E28" r:id="rId7"/>
    <hyperlink ref="E27" r:id="rId8"/>
    <hyperlink ref="E26" r:id="rId9"/>
    <hyperlink ref="E25" r:id="rId10"/>
    <hyperlink ref="E24" r:id="rId11"/>
    <hyperlink ref="E23" r:id="rId12"/>
    <hyperlink ref="E22" r:id="rId13"/>
    <hyperlink ref="E21" r:id="rId14"/>
    <hyperlink ref="E20" r:id="rId15"/>
    <hyperlink ref="E19" r:id="rId16"/>
    <hyperlink ref="E18" r:id="rId17"/>
    <hyperlink ref="E17" r:id="rId18"/>
    <hyperlink ref="E16" r:id="rId19"/>
    <hyperlink ref="E15" r:id="rId20"/>
    <hyperlink ref="E14" r:id="rId21"/>
    <hyperlink ref="D28" r:id="rId22" display="Карта"/>
    <hyperlink ref="D27" r:id="rId23" display="Карта"/>
    <hyperlink ref="D26" r:id="rId24" display="Карта"/>
    <hyperlink ref="D25" r:id="rId25" display="Карта"/>
    <hyperlink ref="D24" r:id="rId26" display="Карта"/>
    <hyperlink ref="D23" r:id="rId27" display="Карта"/>
    <hyperlink ref="D22" r:id="rId28" display="Карта"/>
    <hyperlink ref="D21" r:id="rId29" display="Карта"/>
    <hyperlink ref="D20" r:id="rId30" display="Карта"/>
    <hyperlink ref="C28" r:id="rId31"/>
    <hyperlink ref="C26" r:id="rId32" display="Фото"/>
    <hyperlink ref="C25" r:id="rId33" display="Фото"/>
    <hyperlink ref="C24" r:id="rId34" display="Фото"/>
    <hyperlink ref="C23" r:id="rId35" display="Фото"/>
    <hyperlink ref="C22" r:id="rId36" display="Фото"/>
    <hyperlink ref="C21" r:id="rId37" display="Фото"/>
    <hyperlink ref="C20" r:id="rId38" display="Фото"/>
    <hyperlink ref="D17" r:id="rId39" display="Карта"/>
    <hyperlink ref="D16" r:id="rId40" display="Карта"/>
    <hyperlink ref="D14" r:id="rId41"/>
    <hyperlink ref="C17" r:id="rId42"/>
    <hyperlink ref="C16" r:id="rId43" display="Фото"/>
    <hyperlink ref="C14" r:id="rId44"/>
  </hyperlinks>
  <printOptions horizontalCentered="1" verticalCentered="1"/>
  <pageMargins left="0" right="0" top="0" bottom="0" header="0" footer="0"/>
  <pageSetup paperSize="9" scale="41" fitToHeight="2" orientation="landscape" horizontalDpi="180" verticalDpi="180" r:id="rId45"/>
  <legacyDrawing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18"/>
  <sheetViews>
    <sheetView view="pageBreakPreview" zoomScale="80" zoomScaleNormal="85" zoomScaleSheetLayoutView="80" workbookViewId="0">
      <selection activeCell="K17" sqref="K17:L17"/>
    </sheetView>
  </sheetViews>
  <sheetFormatPr defaultRowHeight="15" outlineLevelCol="1"/>
  <cols>
    <col min="1" max="1" width="51.28515625" customWidth="1"/>
    <col min="2" max="2" width="16.5703125" customWidth="1"/>
    <col min="3" max="3" width="8.85546875" hidden="1" customWidth="1"/>
    <col min="4" max="4" width="10.42578125" hidden="1" customWidth="1"/>
    <col min="5" max="5" width="6.85546875" hidden="1" customWidth="1"/>
    <col min="6" max="6" width="7.28515625" hidden="1" customWidth="1"/>
    <col min="7" max="7" width="11.7109375" hidden="1" customWidth="1"/>
    <col min="8" max="8" width="20" bestFit="1" customWidth="1"/>
    <col min="9" max="9" width="12.7109375" customWidth="1"/>
    <col min="10" max="10" width="15.85546875" customWidth="1"/>
    <col min="11" max="11" width="13.7109375" customWidth="1"/>
    <col min="12" max="12" width="15.42578125" customWidth="1"/>
    <col min="13" max="13" width="12.42578125" customWidth="1"/>
    <col min="14" max="14" width="11.28515625" customWidth="1"/>
    <col min="15" max="15" width="13.7109375" customWidth="1"/>
    <col min="16" max="16" width="12" customWidth="1"/>
    <col min="17" max="18" width="11.42578125" customWidth="1"/>
    <col min="19" max="23" width="10.7109375" hidden="1" customWidth="1" outlineLevel="1"/>
    <col min="24" max="27" width="7.85546875" hidden="1" customWidth="1" outlineLevel="1"/>
    <col min="28" max="28" width="8.28515625" hidden="1" customWidth="1" outlineLevel="1"/>
    <col min="29" max="34" width="7" hidden="1" customWidth="1" outlineLevel="1"/>
    <col min="35" max="35" width="8.140625" hidden="1" customWidth="1" outlineLevel="1"/>
    <col min="36" max="39" width="7" hidden="1" customWidth="1" outlineLevel="1"/>
    <col min="40" max="40" width="10.7109375" hidden="1" customWidth="1" outlineLevel="1"/>
    <col min="41" max="41" width="12.85546875" customWidth="1" collapsed="1"/>
    <col min="42" max="42" width="8.85546875" hidden="1" customWidth="1" outlineLevel="1"/>
    <col min="43" max="43" width="8.5703125" customWidth="1" collapsed="1"/>
    <col min="44" max="44" width="12" customWidth="1"/>
    <col min="45" max="45" width="1.42578125" customWidth="1"/>
    <col min="46" max="46" width="12.7109375" customWidth="1"/>
    <col min="47" max="47" width="21.28515625" customWidth="1"/>
    <col min="48" max="48" width="2.5703125" customWidth="1"/>
  </cols>
  <sheetData>
    <row r="1" spans="1:47">
      <c r="O1" s="18">
        <v>5</v>
      </c>
      <c r="Q1" s="18"/>
      <c r="R1" s="18">
        <v>1</v>
      </c>
    </row>
    <row r="2" spans="1:47">
      <c r="O2" s="18">
        <v>10</v>
      </c>
      <c r="Q2" s="18"/>
      <c r="R2" s="18">
        <v>2</v>
      </c>
    </row>
    <row r="3" spans="1:47">
      <c r="O3" s="18">
        <v>15</v>
      </c>
      <c r="P3" s="18"/>
      <c r="Q3" s="18"/>
      <c r="R3" s="18">
        <v>3</v>
      </c>
    </row>
    <row r="4" spans="1:47">
      <c r="O4" s="18">
        <v>20</v>
      </c>
      <c r="P4" s="18">
        <v>5</v>
      </c>
      <c r="Q4" s="18"/>
      <c r="R4" s="18">
        <v>4</v>
      </c>
    </row>
    <row r="5" spans="1:47">
      <c r="P5" s="18">
        <v>10</v>
      </c>
      <c r="Q5" s="18"/>
      <c r="R5" s="18">
        <v>5</v>
      </c>
    </row>
    <row r="6" spans="1:47">
      <c r="A6" t="s">
        <v>10</v>
      </c>
      <c r="P6" s="19">
        <v>15</v>
      </c>
      <c r="Q6" s="18"/>
      <c r="R6" s="18">
        <v>6</v>
      </c>
    </row>
    <row r="7" spans="1:47">
      <c r="A7" t="s">
        <v>9</v>
      </c>
      <c r="O7" s="24">
        <v>1</v>
      </c>
      <c r="P7" s="19">
        <v>20</v>
      </c>
      <c r="Q7" s="18"/>
      <c r="R7" s="18">
        <v>7</v>
      </c>
    </row>
    <row r="8" spans="1:47">
      <c r="A8" t="s">
        <v>100</v>
      </c>
      <c r="O8" s="24">
        <v>2</v>
      </c>
      <c r="P8" s="19">
        <v>25</v>
      </c>
      <c r="Q8" s="18"/>
      <c r="R8" s="18">
        <v>8</v>
      </c>
    </row>
    <row r="9" spans="1:47">
      <c r="A9" s="1" t="s">
        <v>11</v>
      </c>
      <c r="P9" s="19">
        <v>30</v>
      </c>
      <c r="Q9" s="18"/>
      <c r="R9" s="18">
        <v>9</v>
      </c>
    </row>
    <row r="10" spans="1:47">
      <c r="A10" s="1" t="s">
        <v>12</v>
      </c>
      <c r="O10" s="1"/>
      <c r="P10" s="20"/>
      <c r="Q10" s="18"/>
      <c r="R10" s="18">
        <v>10</v>
      </c>
    </row>
    <row r="11" spans="1:47" ht="23.25">
      <c r="A11" s="2" t="s">
        <v>119</v>
      </c>
      <c r="B11" s="2"/>
      <c r="C11" s="2"/>
      <c r="D11" s="2"/>
      <c r="E11" s="2"/>
      <c r="F11" s="2"/>
      <c r="G11" s="2"/>
      <c r="H11" s="2"/>
      <c r="I11" s="2"/>
      <c r="J11" s="2"/>
    </row>
    <row r="12" spans="1:47" ht="60">
      <c r="A12" s="41" t="s">
        <v>66</v>
      </c>
      <c r="B12" s="41" t="s">
        <v>67</v>
      </c>
      <c r="C12" s="41" t="s">
        <v>14</v>
      </c>
      <c r="D12" s="41" t="s">
        <v>97</v>
      </c>
      <c r="E12" s="41" t="s">
        <v>16</v>
      </c>
      <c r="F12" s="41" t="s">
        <v>17</v>
      </c>
      <c r="G12" s="41" t="s">
        <v>72</v>
      </c>
      <c r="H12" s="41" t="s">
        <v>18</v>
      </c>
      <c r="I12" s="41" t="s">
        <v>99</v>
      </c>
      <c r="J12" s="41" t="s">
        <v>45</v>
      </c>
      <c r="K12" s="41" t="s">
        <v>5</v>
      </c>
      <c r="L12" s="41" t="s">
        <v>6</v>
      </c>
      <c r="M12" s="41" t="s">
        <v>7</v>
      </c>
      <c r="N12" s="41" t="s">
        <v>50</v>
      </c>
      <c r="O12" s="41" t="s">
        <v>0</v>
      </c>
      <c r="P12" s="41" t="s">
        <v>4</v>
      </c>
      <c r="Q12" s="41" t="s">
        <v>102</v>
      </c>
      <c r="R12" s="41" t="s">
        <v>8</v>
      </c>
      <c r="S12" s="15" t="s">
        <v>20</v>
      </c>
      <c r="T12" s="14" t="s">
        <v>26</v>
      </c>
      <c r="U12" s="15" t="s">
        <v>21</v>
      </c>
      <c r="V12" s="14" t="s">
        <v>27</v>
      </c>
      <c r="W12" s="15" t="s">
        <v>22</v>
      </c>
      <c r="X12" s="16" t="s">
        <v>29</v>
      </c>
      <c r="Y12" s="16" t="s">
        <v>30</v>
      </c>
      <c r="Z12" s="16"/>
      <c r="AA12" s="16"/>
      <c r="AB12" s="41" t="s">
        <v>28</v>
      </c>
      <c r="AC12" s="16" t="s">
        <v>31</v>
      </c>
      <c r="AD12" s="16" t="s">
        <v>32</v>
      </c>
      <c r="AE12" s="16" t="s">
        <v>33</v>
      </c>
      <c r="AF12" s="16" t="s">
        <v>34</v>
      </c>
      <c r="AG12" s="16" t="s">
        <v>35</v>
      </c>
      <c r="AH12" s="16" t="s">
        <v>36</v>
      </c>
      <c r="AI12" s="41" t="s">
        <v>23</v>
      </c>
      <c r="AJ12" s="16" t="s">
        <v>37</v>
      </c>
      <c r="AK12" s="16" t="s">
        <v>38</v>
      </c>
      <c r="AL12" s="16" t="s">
        <v>39</v>
      </c>
      <c r="AM12" s="16" t="s">
        <v>40</v>
      </c>
      <c r="AN12" s="41" t="s">
        <v>25</v>
      </c>
      <c r="AO12" s="41" t="s">
        <v>1</v>
      </c>
      <c r="AP12" s="15" t="s">
        <v>24</v>
      </c>
      <c r="AQ12" s="41" t="s">
        <v>2</v>
      </c>
      <c r="AR12" s="41" t="s">
        <v>3</v>
      </c>
      <c r="AT12" s="41" t="s">
        <v>41</v>
      </c>
      <c r="AU12" s="41" t="s">
        <v>15</v>
      </c>
    </row>
    <row r="13" spans="1:47" ht="30">
      <c r="A13" s="15" t="s">
        <v>120</v>
      </c>
      <c r="B13" s="4">
        <v>3</v>
      </c>
      <c r="C13" s="40"/>
      <c r="D13" s="47"/>
      <c r="E13" s="49"/>
      <c r="F13" s="49"/>
      <c r="G13" s="64"/>
      <c r="H13" s="15" t="s">
        <v>103</v>
      </c>
      <c r="I13" s="50" t="s">
        <v>43</v>
      </c>
      <c r="J13" s="51" t="s">
        <v>44</v>
      </c>
      <c r="K13" s="57">
        <v>45689</v>
      </c>
      <c r="L13" s="60">
        <v>45716</v>
      </c>
      <c r="M13" s="48">
        <f>L13-K13+1</f>
        <v>28</v>
      </c>
      <c r="N13" s="11">
        <v>5</v>
      </c>
      <c r="O13" s="12">
        <v>10</v>
      </c>
      <c r="P13" s="4">
        <v>2</v>
      </c>
      <c r="Q13" s="59">
        <f>IF(N13=5,144*B13*P13,216*B13*P13/2)</f>
        <v>864</v>
      </c>
      <c r="R13" s="52">
        <f>(M13-4)*Q13</f>
        <v>20736</v>
      </c>
      <c r="S13" s="52">
        <f>12500*AB13*AI13*P13</f>
        <v>25000</v>
      </c>
      <c r="T13" s="52">
        <f t="shared" ref="T13:T18" si="0">(U13-S13)/7</f>
        <v>714.28571428571433</v>
      </c>
      <c r="U13" s="52">
        <f>15000*AB13*AI13*P13</f>
        <v>30000</v>
      </c>
      <c r="V13" s="52">
        <f t="shared" ref="V13:V18" si="1">(W13-U13)/(EOMONTH(K13,0)-DATEVALUE(CONCATENATE("01.",MONTH(K13),".",YEAR(K13)))+1-14)</f>
        <v>2142.8571428571427</v>
      </c>
      <c r="W13" s="52">
        <f>30000*AB13*AI13*P13</f>
        <v>60000</v>
      </c>
      <c r="X13" s="53">
        <v>1</v>
      </c>
      <c r="Y13" s="53">
        <f t="shared" ref="Y13:Y18" si="2">1/2</f>
        <v>0.5</v>
      </c>
      <c r="Z13" s="53"/>
      <c r="AA13" s="53"/>
      <c r="AB13" s="53">
        <f t="shared" ref="AB13:AB18" si="3">IF(N13=5,X13,Y13)</f>
        <v>1</v>
      </c>
      <c r="AC13" s="53">
        <v>0.5</v>
      </c>
      <c r="AD13" s="53">
        <v>1</v>
      </c>
      <c r="AE13" s="53">
        <v>1.3</v>
      </c>
      <c r="AF13" s="53">
        <v>1.6</v>
      </c>
      <c r="AG13" s="53">
        <v>1.8</v>
      </c>
      <c r="AH13" s="53">
        <v>2</v>
      </c>
      <c r="AI13" s="53">
        <f t="shared" ref="AI13:AI18" si="4">IF(O13=5,AC13,IF(O13=10,AD13,IF(O13=15,AE13,IF(O13=20,AF13,IF(O13=25,AG13,IF(O13=30,AH13,"ошибка"))))))</f>
        <v>1</v>
      </c>
      <c r="AJ13" s="54">
        <v>0</v>
      </c>
      <c r="AK13" s="54">
        <v>0.2</v>
      </c>
      <c r="AL13" s="54">
        <v>0.33300000000000002</v>
      </c>
      <c r="AM13" s="54">
        <v>0.35</v>
      </c>
      <c r="AN13" s="53">
        <f t="shared" ref="AN13:AN18" si="5">IF(P13=1,AJ13,IF(P13=2,AK13,IF(P13=3,AL13,IF(P13&gt;3,AM13,"ошибка"))))</f>
        <v>0.2</v>
      </c>
      <c r="AO13" s="52">
        <f>IF(M13&lt;=7,S13,IF(M13&lt;=14,S13+T13*(M13-7),IF(M13&lt;=31,U13+V13*(M13-14),(DATEDIF(K13,L13,"m")*W13)+W13/(EOMONTH(L13,0)-DATEVALUE(CONCATENATE("01.",MONTH(L13),".",YEAR(L13)))+1)*(DATEDIF(K13,L13,"md")+1))))</f>
        <v>60000</v>
      </c>
      <c r="AP13" s="22">
        <v>0.15</v>
      </c>
      <c r="AQ13" s="21">
        <v>0.6</v>
      </c>
      <c r="AR13" s="25">
        <f t="shared" ref="AR13:AR18" si="6">AO13-AO13*AQ13</f>
        <v>24000</v>
      </c>
      <c r="AT13" s="8">
        <f>AR13/AU13*1000</f>
        <v>1575.6302521008404</v>
      </c>
      <c r="AU13" s="10">
        <f t="shared" ref="AU13:AU14" si="7">16320/30*M13</f>
        <v>15232</v>
      </c>
    </row>
    <row r="14" spans="1:47" ht="30">
      <c r="A14" s="15" t="s">
        <v>120</v>
      </c>
      <c r="B14" s="4">
        <v>3</v>
      </c>
      <c r="C14" s="40"/>
      <c r="D14" s="47"/>
      <c r="E14" s="49"/>
      <c r="F14" s="49"/>
      <c r="G14" s="64"/>
      <c r="H14" s="15" t="s">
        <v>103</v>
      </c>
      <c r="I14" s="50" t="s">
        <v>43</v>
      </c>
      <c r="J14" s="51" t="s">
        <v>44</v>
      </c>
      <c r="K14" s="57">
        <v>45689</v>
      </c>
      <c r="L14" s="60">
        <v>45716</v>
      </c>
      <c r="M14" s="48">
        <f>L14-K14+1</f>
        <v>28</v>
      </c>
      <c r="N14" s="11">
        <v>5</v>
      </c>
      <c r="O14" s="12">
        <v>10</v>
      </c>
      <c r="P14" s="4">
        <v>1</v>
      </c>
      <c r="Q14" s="59">
        <f>IF(N14=5,144*B14*P14,216*B14*P14/2)</f>
        <v>432</v>
      </c>
      <c r="R14" s="52">
        <f>(M14-4)*Q14</f>
        <v>10368</v>
      </c>
      <c r="S14" s="52">
        <f>12500*AB14*AI14*P14</f>
        <v>12500</v>
      </c>
      <c r="T14" s="52">
        <f t="shared" si="0"/>
        <v>357.14285714285717</v>
      </c>
      <c r="U14" s="52">
        <f>15000*AB14*AI14*P14</f>
        <v>15000</v>
      </c>
      <c r="V14" s="52">
        <f t="shared" si="1"/>
        <v>1071.4285714285713</v>
      </c>
      <c r="W14" s="52">
        <f>30000*AB14*AI14*P14</f>
        <v>30000</v>
      </c>
      <c r="X14" s="53">
        <v>1</v>
      </c>
      <c r="Y14" s="53">
        <f t="shared" si="2"/>
        <v>0.5</v>
      </c>
      <c r="Z14" s="53"/>
      <c r="AA14" s="53"/>
      <c r="AB14" s="53">
        <f t="shared" si="3"/>
        <v>1</v>
      </c>
      <c r="AC14" s="53">
        <v>0.5</v>
      </c>
      <c r="AD14" s="53">
        <v>1</v>
      </c>
      <c r="AE14" s="53">
        <v>1.3</v>
      </c>
      <c r="AF14" s="53">
        <v>1.6</v>
      </c>
      <c r="AG14" s="53">
        <v>1.8</v>
      </c>
      <c r="AH14" s="53">
        <v>2</v>
      </c>
      <c r="AI14" s="53">
        <f t="shared" si="4"/>
        <v>1</v>
      </c>
      <c r="AJ14" s="54">
        <v>0</v>
      </c>
      <c r="AK14" s="54">
        <v>0.2</v>
      </c>
      <c r="AL14" s="54">
        <v>0.33300000000000002</v>
      </c>
      <c r="AM14" s="54">
        <v>0.35</v>
      </c>
      <c r="AN14" s="53">
        <f t="shared" si="5"/>
        <v>0</v>
      </c>
      <c r="AO14" s="52">
        <f>IF(M14&lt;=7,S14,IF(M14&lt;=14,S14+T14*(M14-7),IF(M14&lt;=31,U14+V14*(M14-14),(DATEDIF(K14,L14,"m")*W14)+W14/(EOMONTH(L14,0)-DATEVALUE(CONCATENATE("01.",MONTH(L14),".",YEAR(L14)))+1)*(DATEDIF(K14,L14,"md")+1))))</f>
        <v>30000</v>
      </c>
      <c r="AP14" s="22">
        <v>0.15</v>
      </c>
      <c r="AQ14" s="21">
        <v>0.5</v>
      </c>
      <c r="AR14" s="25">
        <f t="shared" si="6"/>
        <v>15000</v>
      </c>
      <c r="AT14" s="8">
        <f t="shared" ref="AT14:AT18" si="8">AR14/AU14*1000</f>
        <v>984.76890756302521</v>
      </c>
      <c r="AU14" s="10">
        <f t="shared" si="7"/>
        <v>15232</v>
      </c>
    </row>
    <row r="15" spans="1:47" ht="30">
      <c r="A15" s="15" t="s">
        <v>120</v>
      </c>
      <c r="B15" s="4">
        <v>3</v>
      </c>
      <c r="C15" s="40"/>
      <c r="D15" s="47"/>
      <c r="E15" s="49"/>
      <c r="F15" s="49"/>
      <c r="G15" s="64"/>
      <c r="H15" s="15" t="s">
        <v>103</v>
      </c>
      <c r="I15" s="50" t="s">
        <v>43</v>
      </c>
      <c r="J15" s="51" t="s">
        <v>44</v>
      </c>
      <c r="K15" s="57">
        <v>45689</v>
      </c>
      <c r="L15" s="60">
        <v>45716</v>
      </c>
      <c r="M15" s="48">
        <f>L15-K15+1</f>
        <v>28</v>
      </c>
      <c r="N15" s="11">
        <v>10</v>
      </c>
      <c r="O15" s="12">
        <v>10</v>
      </c>
      <c r="P15" s="4">
        <v>1</v>
      </c>
      <c r="Q15" s="59">
        <f>IF(N15=5,144*B15*P15,216*B15*P15/2)</f>
        <v>324</v>
      </c>
      <c r="R15" s="52">
        <f>(M15-4)*Q15</f>
        <v>7776</v>
      </c>
      <c r="S15" s="52">
        <f>12500*AB15*AI15*P15</f>
        <v>6250</v>
      </c>
      <c r="T15" s="52">
        <f t="shared" si="0"/>
        <v>178.57142857142858</v>
      </c>
      <c r="U15" s="52">
        <f>15000*AB15*AI15*P15</f>
        <v>7500</v>
      </c>
      <c r="V15" s="52">
        <f t="shared" si="1"/>
        <v>535.71428571428567</v>
      </c>
      <c r="W15" s="52">
        <f>30000*AB15*AI15*P15</f>
        <v>15000</v>
      </c>
      <c r="X15" s="53">
        <v>1</v>
      </c>
      <c r="Y15" s="53">
        <f t="shared" si="2"/>
        <v>0.5</v>
      </c>
      <c r="Z15" s="53"/>
      <c r="AA15" s="53"/>
      <c r="AB15" s="53">
        <f t="shared" si="3"/>
        <v>0.5</v>
      </c>
      <c r="AC15" s="53">
        <v>0.5</v>
      </c>
      <c r="AD15" s="53">
        <v>1</v>
      </c>
      <c r="AE15" s="53">
        <v>1.3</v>
      </c>
      <c r="AF15" s="53">
        <v>1.6</v>
      </c>
      <c r="AG15" s="53">
        <v>1.8</v>
      </c>
      <c r="AH15" s="53">
        <v>2</v>
      </c>
      <c r="AI15" s="53">
        <f t="shared" si="4"/>
        <v>1</v>
      </c>
      <c r="AJ15" s="54">
        <v>0</v>
      </c>
      <c r="AK15" s="54">
        <v>0.2</v>
      </c>
      <c r="AL15" s="54">
        <v>0.33300000000000002</v>
      </c>
      <c r="AM15" s="54">
        <v>0.35</v>
      </c>
      <c r="AN15" s="53">
        <f t="shared" si="5"/>
        <v>0</v>
      </c>
      <c r="AO15" s="52">
        <f>IF(M15&lt;=7,S15,IF(M15&lt;=14,S15+T15*(M15-7),IF(M15&lt;=31,U15+V15*(M15-14),(DATEDIF(K15,L15,"m")*W15)+W15/(EOMONTH(L15,0)-DATEVALUE(CONCATENATE("01.",MONTH(L15),".",YEAR(L15)))+1)*(DATEDIF(K15,L15,"md")+1))))</f>
        <v>15000</v>
      </c>
      <c r="AP15" s="22">
        <v>0.15</v>
      </c>
      <c r="AQ15" s="21">
        <v>0.2</v>
      </c>
      <c r="AR15" s="25">
        <f t="shared" si="6"/>
        <v>12000</v>
      </c>
      <c r="AT15" s="8">
        <f>AR15/AU15*1000</f>
        <v>787.81512605042019</v>
      </c>
      <c r="AU15" s="10">
        <f>16320/30*M15</f>
        <v>15232</v>
      </c>
    </row>
    <row r="16" spans="1:47" ht="30">
      <c r="A16" s="63" t="s">
        <v>117</v>
      </c>
      <c r="B16" s="4">
        <v>1</v>
      </c>
      <c r="C16" s="40"/>
      <c r="D16" s="62" t="s">
        <v>92</v>
      </c>
      <c r="E16" s="62" t="s">
        <v>92</v>
      </c>
      <c r="F16" s="62" t="s">
        <v>92</v>
      </c>
      <c r="G16" s="62" t="s">
        <v>92</v>
      </c>
      <c r="H16" s="40" t="s">
        <v>103</v>
      </c>
      <c r="I16" s="9" t="s">
        <v>43</v>
      </c>
      <c r="J16" s="23" t="s">
        <v>44</v>
      </c>
      <c r="K16" s="57">
        <v>45689</v>
      </c>
      <c r="L16" s="60">
        <v>45716</v>
      </c>
      <c r="M16" s="3">
        <f t="shared" ref="M16:M18" si="9">L16-K16+1</f>
        <v>28</v>
      </c>
      <c r="N16" s="11">
        <v>5</v>
      </c>
      <c r="O16" s="12">
        <v>10</v>
      </c>
      <c r="P16" s="4">
        <v>1</v>
      </c>
      <c r="Q16" s="58">
        <f>IF(N16=5,144*B16*P16,144*B16*P16/2)</f>
        <v>144</v>
      </c>
      <c r="R16" s="5">
        <f t="shared" ref="R16:R18" si="10">(M16-4)*Q16</f>
        <v>3456</v>
      </c>
      <c r="S16" s="5">
        <f>2500*AB16*AI16*P16</f>
        <v>2500</v>
      </c>
      <c r="T16" s="5">
        <f t="shared" si="0"/>
        <v>357.14285714285717</v>
      </c>
      <c r="U16" s="5">
        <f>5000*AB16*AI16*P16</f>
        <v>5000</v>
      </c>
      <c r="V16" s="5">
        <f t="shared" si="1"/>
        <v>357.14285714285717</v>
      </c>
      <c r="W16" s="5">
        <f>10000*AB16*AI16*P16</f>
        <v>10000</v>
      </c>
      <c r="X16" s="13">
        <v>1</v>
      </c>
      <c r="Y16" s="13">
        <f t="shared" si="2"/>
        <v>0.5</v>
      </c>
      <c r="Z16" s="13"/>
      <c r="AA16" s="13"/>
      <c r="AB16" s="13">
        <f t="shared" si="3"/>
        <v>1</v>
      </c>
      <c r="AC16" s="13">
        <v>0.5</v>
      </c>
      <c r="AD16" s="13">
        <v>1</v>
      </c>
      <c r="AE16" s="13">
        <v>1.3</v>
      </c>
      <c r="AF16" s="13">
        <v>1.6</v>
      </c>
      <c r="AG16" s="13">
        <v>1.8</v>
      </c>
      <c r="AH16" s="13">
        <v>2</v>
      </c>
      <c r="AI16" s="13">
        <f t="shared" si="4"/>
        <v>1</v>
      </c>
      <c r="AJ16" s="17">
        <v>0</v>
      </c>
      <c r="AK16" s="17">
        <v>0.2</v>
      </c>
      <c r="AL16" s="17">
        <v>0.33300000000000002</v>
      </c>
      <c r="AM16" s="17">
        <v>0.35</v>
      </c>
      <c r="AN16" s="13">
        <f t="shared" si="5"/>
        <v>0</v>
      </c>
      <c r="AO16" s="5">
        <f t="shared" ref="AO16:AO18" si="11">IF(M16&lt;=7,S16,IF(M16&lt;=14,S16+T16*(M16-7),IF(M16&lt;=31,U16+V16*(M16-14),(DATEDIF(K16,L16,"m")*W16)+W16/(EOMONTH(L16,0)-DATEVALUE(CONCATENATE("01.",MONTH(L16),".",YEAR(L16)))+1)*(DATEDIF(K16,L16,"md")+1))))</f>
        <v>10000</v>
      </c>
      <c r="AP16" s="22">
        <v>0.15</v>
      </c>
      <c r="AQ16" s="65">
        <v>0</v>
      </c>
      <c r="AR16" s="25">
        <f t="shared" si="6"/>
        <v>10000</v>
      </c>
      <c r="AT16" s="8">
        <f t="shared" si="8"/>
        <v>2013.206635529071</v>
      </c>
      <c r="AU16" s="10">
        <f>5322/30*M16</f>
        <v>4967.2</v>
      </c>
    </row>
    <row r="17" spans="1:47" ht="35.25" customHeight="1">
      <c r="A17" s="63" t="s">
        <v>118</v>
      </c>
      <c r="B17" s="4">
        <v>1</v>
      </c>
      <c r="C17" s="40"/>
      <c r="D17" s="62" t="s">
        <v>92</v>
      </c>
      <c r="E17" s="62" t="s">
        <v>92</v>
      </c>
      <c r="F17" s="62" t="s">
        <v>92</v>
      </c>
      <c r="G17" s="62" t="s">
        <v>92</v>
      </c>
      <c r="H17" s="40" t="s">
        <v>103</v>
      </c>
      <c r="I17" s="9" t="s">
        <v>43</v>
      </c>
      <c r="J17" s="23" t="s">
        <v>44</v>
      </c>
      <c r="K17" s="57">
        <v>45689</v>
      </c>
      <c r="L17" s="60">
        <v>45716</v>
      </c>
      <c r="M17" s="3">
        <f t="shared" si="9"/>
        <v>28</v>
      </c>
      <c r="N17" s="11">
        <v>5</v>
      </c>
      <c r="O17" s="12">
        <v>10</v>
      </c>
      <c r="P17" s="4">
        <v>1</v>
      </c>
      <c r="Q17" s="58">
        <f t="shared" ref="Q17:Q18" si="12">IF(N17=5,144*B17*P17,144*B17*P17/2)</f>
        <v>144</v>
      </c>
      <c r="R17" s="5">
        <f t="shared" si="10"/>
        <v>3456</v>
      </c>
      <c r="S17" s="5">
        <f t="shared" ref="S17:S18" si="13">2500*AB17*AI17*P17</f>
        <v>2500</v>
      </c>
      <c r="T17" s="5">
        <f t="shared" si="0"/>
        <v>357.14285714285717</v>
      </c>
      <c r="U17" s="5">
        <f t="shared" ref="U17:U18" si="14">5000*AB17*AI17*P17</f>
        <v>5000</v>
      </c>
      <c r="V17" s="5">
        <f t="shared" si="1"/>
        <v>357.14285714285717</v>
      </c>
      <c r="W17" s="5">
        <f t="shared" ref="W17:W18" si="15">10000*AB17*AI17*P17</f>
        <v>10000</v>
      </c>
      <c r="X17" s="13">
        <v>1</v>
      </c>
      <c r="Y17" s="13">
        <f t="shared" si="2"/>
        <v>0.5</v>
      </c>
      <c r="Z17" s="13"/>
      <c r="AA17" s="13"/>
      <c r="AB17" s="13">
        <f t="shared" si="3"/>
        <v>1</v>
      </c>
      <c r="AC17" s="13">
        <v>0.5</v>
      </c>
      <c r="AD17" s="13">
        <v>1</v>
      </c>
      <c r="AE17" s="13">
        <v>1.3</v>
      </c>
      <c r="AF17" s="13">
        <v>1.6</v>
      </c>
      <c r="AG17" s="13">
        <v>1.8</v>
      </c>
      <c r="AH17" s="13">
        <v>2</v>
      </c>
      <c r="AI17" s="13">
        <f t="shared" si="4"/>
        <v>1</v>
      </c>
      <c r="AJ17" s="17">
        <v>0</v>
      </c>
      <c r="AK17" s="17">
        <v>0.2</v>
      </c>
      <c r="AL17" s="17">
        <v>0.33300000000000002</v>
      </c>
      <c r="AM17" s="17">
        <v>0.35</v>
      </c>
      <c r="AN17" s="13">
        <f t="shared" si="5"/>
        <v>0</v>
      </c>
      <c r="AO17" s="5">
        <f t="shared" si="11"/>
        <v>10000</v>
      </c>
      <c r="AP17" s="22">
        <v>0.15</v>
      </c>
      <c r="AQ17" s="65">
        <v>0</v>
      </c>
      <c r="AR17" s="25">
        <f t="shared" si="6"/>
        <v>10000</v>
      </c>
      <c r="AT17" s="8">
        <f t="shared" si="8"/>
        <v>4329.0043290043286</v>
      </c>
      <c r="AU17" s="10">
        <f>2475/30*M17</f>
        <v>2310</v>
      </c>
    </row>
    <row r="18" spans="1:47" ht="30">
      <c r="A18" s="63" t="s">
        <v>122</v>
      </c>
      <c r="B18" s="4">
        <v>1</v>
      </c>
      <c r="C18" s="40"/>
      <c r="D18" s="62" t="s">
        <v>92</v>
      </c>
      <c r="E18" s="62" t="s">
        <v>92</v>
      </c>
      <c r="F18" s="62" t="s">
        <v>92</v>
      </c>
      <c r="G18" s="62" t="s">
        <v>92</v>
      </c>
      <c r="H18" s="40" t="s">
        <v>103</v>
      </c>
      <c r="I18" s="9" t="s">
        <v>43</v>
      </c>
      <c r="J18" s="23" t="s">
        <v>44</v>
      </c>
      <c r="K18" s="57">
        <v>45689</v>
      </c>
      <c r="L18" s="60">
        <v>45716</v>
      </c>
      <c r="M18" s="3">
        <f t="shared" si="9"/>
        <v>28</v>
      </c>
      <c r="N18" s="11">
        <v>5</v>
      </c>
      <c r="O18" s="12">
        <v>10</v>
      </c>
      <c r="P18" s="4">
        <v>1</v>
      </c>
      <c r="Q18" s="58">
        <f t="shared" si="12"/>
        <v>144</v>
      </c>
      <c r="R18" s="5">
        <f t="shared" si="10"/>
        <v>3456</v>
      </c>
      <c r="S18" s="5">
        <f t="shared" si="13"/>
        <v>2500</v>
      </c>
      <c r="T18" s="5">
        <f t="shared" si="0"/>
        <v>357.14285714285717</v>
      </c>
      <c r="U18" s="5">
        <f t="shared" si="14"/>
        <v>5000</v>
      </c>
      <c r="V18" s="5">
        <f t="shared" si="1"/>
        <v>357.14285714285717</v>
      </c>
      <c r="W18" s="5">
        <f t="shared" si="15"/>
        <v>10000</v>
      </c>
      <c r="X18" s="13">
        <v>1</v>
      </c>
      <c r="Y18" s="13">
        <f t="shared" si="2"/>
        <v>0.5</v>
      </c>
      <c r="Z18" s="13"/>
      <c r="AA18" s="13"/>
      <c r="AB18" s="13">
        <f t="shared" si="3"/>
        <v>1</v>
      </c>
      <c r="AC18" s="13">
        <v>0.5</v>
      </c>
      <c r="AD18" s="13">
        <v>1</v>
      </c>
      <c r="AE18" s="13">
        <v>1.3</v>
      </c>
      <c r="AF18" s="13">
        <v>1.6</v>
      </c>
      <c r="AG18" s="13">
        <v>1.8</v>
      </c>
      <c r="AH18" s="13">
        <v>2</v>
      </c>
      <c r="AI18" s="13">
        <f t="shared" si="4"/>
        <v>1</v>
      </c>
      <c r="AJ18" s="17">
        <v>0</v>
      </c>
      <c r="AK18" s="17">
        <v>0.2</v>
      </c>
      <c r="AL18" s="17">
        <v>0.33300000000000002</v>
      </c>
      <c r="AM18" s="17">
        <v>0.35</v>
      </c>
      <c r="AN18" s="13">
        <f t="shared" si="5"/>
        <v>0</v>
      </c>
      <c r="AO18" s="5">
        <f t="shared" si="11"/>
        <v>10000</v>
      </c>
      <c r="AP18" s="22">
        <v>0.15</v>
      </c>
      <c r="AQ18" s="65">
        <v>0</v>
      </c>
      <c r="AR18" s="25">
        <f t="shared" si="6"/>
        <v>10000</v>
      </c>
      <c r="AT18" s="8">
        <f t="shared" si="8"/>
        <v>1257.1026298587017</v>
      </c>
      <c r="AU18" s="10">
        <f>8523/30*M18</f>
        <v>7954.8000000000011</v>
      </c>
    </row>
  </sheetData>
  <sheetProtection formatCells="0" formatRows="0" deleteRows="0"/>
  <conditionalFormatting sqref="M13:M18">
    <cfRule type="cellIs" dxfId="4" priority="3" operator="lessThan">
      <formula>7</formula>
    </cfRule>
  </conditionalFormatting>
  <dataValidations count="3">
    <dataValidation type="list" allowBlank="1" showInputMessage="1" showErrorMessage="1" promptTitle="Выберете размер рекламного блока" prompt="Доступные варианты 5 или 10 минут._x000a__x000a_Коэффициент блока 5 минут - 1._x000a_Коэффициент блока 10 минут - 0,6." sqref="N13:N18">
      <formula1>$O$1:$O$2</formula1>
    </dataValidation>
    <dataValidation type="list" allowBlank="1" showInputMessage="1" showErrorMessage="1" promptTitle="Укажите длительность ролика" prompt="Доступны варианты - 5, 10, 15, 20, 25, 30 секунд._x000a_БОльший хрон считается через количество выходов в блоке._x000a_Коэффициенты _x000a_5 секу - 0,5._x000a_10 сек - 1._x000a_15 сек - 1,3._x000a_20 сек - 1,6_x000a_25 сек - 1,8_x000a_30 сек - 2" sqref="O13:O18">
      <formula1>$P$4:$P$9</formula1>
    </dataValidation>
    <dataValidation type="list" allowBlank="1" showInputMessage="1" showErrorMessage="1" promptTitle="Сколько раз ролик выходит в блок" prompt="Доступны варианты от 1 до 10._x000a_Весь эфир = ролик 30 сек * 10 выходов = 300 сек (5 минут)" sqref="P13:P18">
      <formula1>$R$1:$R$10</formula1>
    </dataValidation>
  </dataValidations>
  <hyperlinks>
    <hyperlink ref="A9" r:id="rId1"/>
    <hyperlink ref="A10" r:id="rId2"/>
  </hyperlinks>
  <printOptions horizontalCentered="1" verticalCentered="1"/>
  <pageMargins left="0" right="0" top="0" bottom="0" header="0" footer="0"/>
  <pageSetup paperSize="9" scale="41" fitToHeight="2" orientation="landscape" horizontalDpi="180" verticalDpi="180" r:id="rId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AU32"/>
  <sheetViews>
    <sheetView view="pageBreakPreview" topLeftCell="A13" zoomScale="80" zoomScaleNormal="85" zoomScaleSheetLayoutView="80" workbookViewId="0">
      <selection activeCell="K29" sqref="K29:L29"/>
    </sheetView>
  </sheetViews>
  <sheetFormatPr defaultRowHeight="15" outlineLevelCol="1"/>
  <cols>
    <col min="1" max="1" width="43.140625" customWidth="1"/>
    <col min="2" max="2" width="16.5703125" customWidth="1"/>
    <col min="3" max="3" width="8.85546875" hidden="1" customWidth="1"/>
    <col min="4" max="4" width="10.42578125" hidden="1" customWidth="1"/>
    <col min="5" max="5" width="6.85546875" hidden="1" customWidth="1"/>
    <col min="6" max="6" width="7.28515625" hidden="1" customWidth="1"/>
    <col min="7" max="7" width="11.7109375" hidden="1" customWidth="1"/>
    <col min="8" max="8" width="20" bestFit="1" customWidth="1"/>
    <col min="9" max="9" width="12.7109375" customWidth="1"/>
    <col min="10" max="10" width="15.85546875" customWidth="1"/>
    <col min="11" max="11" width="13.7109375" customWidth="1"/>
    <col min="12" max="12" width="15.42578125" customWidth="1"/>
    <col min="13" max="13" width="12.42578125" customWidth="1"/>
    <col min="14" max="14" width="11.28515625" customWidth="1"/>
    <col min="15" max="15" width="13.7109375" customWidth="1"/>
    <col min="16" max="16" width="12" customWidth="1"/>
    <col min="17" max="18" width="11.42578125" customWidth="1"/>
    <col min="19" max="23" width="10.7109375" hidden="1" customWidth="1" outlineLevel="1"/>
    <col min="24" max="27" width="7.85546875" hidden="1" customWidth="1" outlineLevel="1"/>
    <col min="28" max="28" width="8.28515625" hidden="1" customWidth="1" outlineLevel="1"/>
    <col min="29" max="34" width="7" hidden="1" customWidth="1" outlineLevel="1"/>
    <col min="35" max="35" width="8.140625" hidden="1" customWidth="1" outlineLevel="1"/>
    <col min="36" max="39" width="7" hidden="1" customWidth="1" outlineLevel="1"/>
    <col min="40" max="40" width="10.7109375" hidden="1" customWidth="1" outlineLevel="1"/>
    <col min="41" max="41" width="12.85546875" customWidth="1" collapsed="1"/>
    <col min="42" max="42" width="8.85546875" hidden="1" customWidth="1" outlineLevel="1"/>
    <col min="43" max="43" width="8.5703125" customWidth="1" collapsed="1"/>
    <col min="44" max="44" width="12" customWidth="1"/>
    <col min="45" max="45" width="1.42578125" customWidth="1"/>
    <col min="46" max="46" width="14.140625" customWidth="1"/>
    <col min="47" max="47" width="21.28515625" customWidth="1"/>
    <col min="48" max="48" width="2.5703125" customWidth="1"/>
  </cols>
  <sheetData>
    <row r="1" spans="1:47">
      <c r="O1" s="18">
        <v>5</v>
      </c>
      <c r="Q1" s="18"/>
      <c r="R1" s="18">
        <v>1</v>
      </c>
    </row>
    <row r="2" spans="1:47">
      <c r="O2" s="18">
        <v>10</v>
      </c>
      <c r="Q2" s="18"/>
      <c r="R2" s="18">
        <v>2</v>
      </c>
    </row>
    <row r="3" spans="1:47">
      <c r="O3" s="18">
        <v>15</v>
      </c>
      <c r="P3" s="18"/>
      <c r="Q3" s="18"/>
      <c r="R3" s="18">
        <v>3</v>
      </c>
    </row>
    <row r="4" spans="1:47">
      <c r="O4" s="18">
        <v>20</v>
      </c>
      <c r="P4" s="18">
        <v>5</v>
      </c>
      <c r="Q4" s="18"/>
      <c r="R4" s="18">
        <v>4</v>
      </c>
    </row>
    <row r="5" spans="1:47">
      <c r="P5" s="18">
        <v>10</v>
      </c>
      <c r="Q5" s="18"/>
      <c r="R5" s="18">
        <v>5</v>
      </c>
    </row>
    <row r="6" spans="1:47">
      <c r="A6" t="s">
        <v>10</v>
      </c>
      <c r="P6" s="19">
        <v>15</v>
      </c>
      <c r="Q6" s="18"/>
      <c r="R6" s="18">
        <v>6</v>
      </c>
    </row>
    <row r="7" spans="1:47">
      <c r="A7" t="s">
        <v>9</v>
      </c>
      <c r="O7" s="24">
        <v>1</v>
      </c>
      <c r="P7" s="19">
        <v>20</v>
      </c>
      <c r="Q7" s="18"/>
      <c r="R7" s="18">
        <v>7</v>
      </c>
    </row>
    <row r="8" spans="1:47">
      <c r="A8" t="s">
        <v>100</v>
      </c>
      <c r="O8" s="24">
        <v>2</v>
      </c>
      <c r="P8" s="19">
        <v>25</v>
      </c>
      <c r="Q8" s="18"/>
      <c r="R8" s="18">
        <v>8</v>
      </c>
    </row>
    <row r="9" spans="1:47">
      <c r="A9" s="1" t="s">
        <v>11</v>
      </c>
      <c r="P9" s="19">
        <v>30</v>
      </c>
      <c r="Q9" s="18"/>
      <c r="R9" s="18">
        <v>9</v>
      </c>
    </row>
    <row r="10" spans="1:47">
      <c r="A10" s="1" t="s">
        <v>12</v>
      </c>
      <c r="O10" s="1"/>
      <c r="P10" s="20"/>
      <c r="Q10" s="18"/>
      <c r="R10" s="18">
        <v>10</v>
      </c>
    </row>
    <row r="11" spans="1:47" ht="23.25">
      <c r="A11" s="2" t="s">
        <v>101</v>
      </c>
      <c r="B11" s="2"/>
      <c r="C11" s="2"/>
      <c r="D11" s="2"/>
      <c r="E11" s="2"/>
      <c r="F11" s="2"/>
      <c r="G11" s="2"/>
      <c r="H11" s="2"/>
      <c r="I11" s="2"/>
      <c r="J11" s="2"/>
    </row>
    <row r="12" spans="1:47" ht="60">
      <c r="A12" s="41" t="s">
        <v>66</v>
      </c>
      <c r="B12" s="41" t="s">
        <v>67</v>
      </c>
      <c r="C12" s="41" t="s">
        <v>14</v>
      </c>
      <c r="D12" s="41" t="s">
        <v>97</v>
      </c>
      <c r="E12" s="41" t="s">
        <v>16</v>
      </c>
      <c r="F12" s="41" t="s">
        <v>17</v>
      </c>
      <c r="G12" s="41" t="s">
        <v>72</v>
      </c>
      <c r="H12" s="41" t="s">
        <v>18</v>
      </c>
      <c r="I12" s="41" t="s">
        <v>99</v>
      </c>
      <c r="J12" s="41" t="s">
        <v>45</v>
      </c>
      <c r="K12" s="41" t="s">
        <v>5</v>
      </c>
      <c r="L12" s="41" t="s">
        <v>6</v>
      </c>
      <c r="M12" s="41" t="s">
        <v>7</v>
      </c>
      <c r="N12" s="41" t="s">
        <v>50</v>
      </c>
      <c r="O12" s="41" t="s">
        <v>0</v>
      </c>
      <c r="P12" s="41" t="s">
        <v>4</v>
      </c>
      <c r="Q12" s="41" t="s">
        <v>102</v>
      </c>
      <c r="R12" s="41" t="s">
        <v>8</v>
      </c>
      <c r="S12" s="15" t="s">
        <v>20</v>
      </c>
      <c r="T12" s="14" t="s">
        <v>26</v>
      </c>
      <c r="U12" s="15" t="s">
        <v>21</v>
      </c>
      <c r="V12" s="14" t="s">
        <v>27</v>
      </c>
      <c r="W12" s="15" t="s">
        <v>22</v>
      </c>
      <c r="X12" s="16" t="s">
        <v>29</v>
      </c>
      <c r="Y12" s="16" t="s">
        <v>30</v>
      </c>
      <c r="Z12" s="16"/>
      <c r="AA12" s="16"/>
      <c r="AB12" s="41" t="s">
        <v>28</v>
      </c>
      <c r="AC12" s="16" t="s">
        <v>31</v>
      </c>
      <c r="AD12" s="16" t="s">
        <v>32</v>
      </c>
      <c r="AE12" s="16" t="s">
        <v>33</v>
      </c>
      <c r="AF12" s="16" t="s">
        <v>34</v>
      </c>
      <c r="AG12" s="16" t="s">
        <v>35</v>
      </c>
      <c r="AH12" s="16" t="s">
        <v>36</v>
      </c>
      <c r="AI12" s="41" t="s">
        <v>23</v>
      </c>
      <c r="AJ12" s="16" t="s">
        <v>37</v>
      </c>
      <c r="AK12" s="16" t="s">
        <v>38</v>
      </c>
      <c r="AL12" s="16" t="s">
        <v>39</v>
      </c>
      <c r="AM12" s="16" t="s">
        <v>40</v>
      </c>
      <c r="AN12" s="41" t="s">
        <v>25</v>
      </c>
      <c r="AO12" s="41" t="s">
        <v>1</v>
      </c>
      <c r="AP12" s="15" t="s">
        <v>24</v>
      </c>
      <c r="AQ12" s="41" t="s">
        <v>2</v>
      </c>
      <c r="AR12" s="41" t="s">
        <v>3</v>
      </c>
      <c r="AT12" s="41" t="s">
        <v>41</v>
      </c>
      <c r="AU12" s="41" t="s">
        <v>15</v>
      </c>
    </row>
    <row r="13" spans="1:47" ht="30">
      <c r="A13" s="15" t="s">
        <v>129</v>
      </c>
      <c r="B13" s="4">
        <v>10</v>
      </c>
      <c r="C13" s="40"/>
      <c r="D13" s="47"/>
      <c r="E13" s="49"/>
      <c r="F13" s="49"/>
      <c r="G13" s="64"/>
      <c r="H13" s="15" t="s">
        <v>121</v>
      </c>
      <c r="I13" s="50" t="s">
        <v>43</v>
      </c>
      <c r="J13" s="51" t="s">
        <v>44</v>
      </c>
      <c r="K13" s="57">
        <v>45689</v>
      </c>
      <c r="L13" s="60">
        <v>45716</v>
      </c>
      <c r="M13" s="48">
        <f>L13-K13+1</f>
        <v>28</v>
      </c>
      <c r="N13" s="11">
        <v>5</v>
      </c>
      <c r="O13" s="12">
        <v>10</v>
      </c>
      <c r="P13" s="4">
        <v>2</v>
      </c>
      <c r="Q13" s="59">
        <f>IF(N13=5,132*B13*P13,132*B13*P13/2)</f>
        <v>2640</v>
      </c>
      <c r="R13" s="52">
        <f>(M13-6)*Q13</f>
        <v>58080</v>
      </c>
      <c r="S13" s="52">
        <f>B13*2500*AB13*AI13*P13</f>
        <v>50000</v>
      </c>
      <c r="T13" s="52">
        <f t="shared" ref="T13:T23" si="0">(U13-S13)/7</f>
        <v>7142.8571428571431</v>
      </c>
      <c r="U13" s="52">
        <f>B13*5000*AB13*AI13*P13</f>
        <v>100000</v>
      </c>
      <c r="V13" s="52">
        <f t="shared" ref="V13:V23" si="1">(W13-U13)/(EOMONTH(K13,0)-DATEVALUE(CONCATENATE("01.",MONTH(K13),".",YEAR(K13)))+1-14)</f>
        <v>7142.8571428571431</v>
      </c>
      <c r="W13" s="52">
        <f>B13*10000*AB13*AI13*P13</f>
        <v>200000</v>
      </c>
      <c r="X13" s="53">
        <v>1</v>
      </c>
      <c r="Y13" s="53">
        <f t="shared" ref="Y13:Y24" si="2">1/2</f>
        <v>0.5</v>
      </c>
      <c r="Z13" s="53"/>
      <c r="AA13" s="53"/>
      <c r="AB13" s="53">
        <f t="shared" ref="AB13:AB23" si="3">IF(N13=5,X13,Y13)</f>
        <v>1</v>
      </c>
      <c r="AC13" s="53">
        <v>0.5</v>
      </c>
      <c r="AD13" s="53">
        <v>1</v>
      </c>
      <c r="AE13" s="53">
        <v>1.3</v>
      </c>
      <c r="AF13" s="53">
        <v>1.6</v>
      </c>
      <c r="AG13" s="53">
        <v>1.8</v>
      </c>
      <c r="AH13" s="53">
        <v>2</v>
      </c>
      <c r="AI13" s="53">
        <f t="shared" ref="AI13:AI23" si="4">IF(O13=5,AC13,IF(O13=10,AD13,IF(O13=15,AE13,IF(O13=20,AF13,IF(O13=25,AG13,IF(O13=30,AH13,"ошибка"))))))</f>
        <v>1</v>
      </c>
      <c r="AJ13" s="54">
        <v>0</v>
      </c>
      <c r="AK13" s="54">
        <v>0.2</v>
      </c>
      <c r="AL13" s="54">
        <v>0.33300000000000002</v>
      </c>
      <c r="AM13" s="54">
        <v>0.35</v>
      </c>
      <c r="AN13" s="53">
        <f t="shared" ref="AN13:AN23" si="5">IF(P13=1,AJ13,IF(P13=2,AK13,IF(P13=3,AL13,IF(P13&gt;3,AM13,"ошибка"))))</f>
        <v>0.2</v>
      </c>
      <c r="AO13" s="52">
        <f>IF(M13&lt;=7,S13,IF(M13&lt;=14,S13+T13*(M13-7),IF(M13&lt;=31,U13+V13*(M13-14),(DATEDIF(K13,L13,"m")*W13)+W13/(EOMONTH(L13,0)-DATEVALUE(CONCATENATE("01.",MONTH(L13),".",YEAR(L13)))+1)*(DATEDIF(K13,L13,"md")+1))))</f>
        <v>200000</v>
      </c>
      <c r="AP13" s="22">
        <v>0.15</v>
      </c>
      <c r="AQ13" s="21">
        <v>0.6</v>
      </c>
      <c r="AR13" s="25">
        <f t="shared" ref="AR13:AR23" si="6">AO13-AO13*AQ13</f>
        <v>80000</v>
      </c>
      <c r="AT13" s="8">
        <f>AR13/AU13*1000</f>
        <v>2185.6410667385503</v>
      </c>
      <c r="AU13" s="10">
        <f>39217/30*M13</f>
        <v>36602.533333333333</v>
      </c>
    </row>
    <row r="14" spans="1:47" ht="30">
      <c r="A14" s="15" t="s">
        <v>129</v>
      </c>
      <c r="B14" s="4">
        <v>10</v>
      </c>
      <c r="C14" s="40"/>
      <c r="D14" s="47"/>
      <c r="E14" s="49"/>
      <c r="F14" s="49"/>
      <c r="G14" s="64"/>
      <c r="H14" s="15" t="s">
        <v>121</v>
      </c>
      <c r="I14" s="50" t="s">
        <v>43</v>
      </c>
      <c r="J14" s="51" t="s">
        <v>44</v>
      </c>
      <c r="K14" s="57">
        <v>45689</v>
      </c>
      <c r="L14" s="60">
        <v>45716</v>
      </c>
      <c r="M14" s="48">
        <f>L14-K14+1</f>
        <v>28</v>
      </c>
      <c r="N14" s="11">
        <v>5</v>
      </c>
      <c r="O14" s="12">
        <v>10</v>
      </c>
      <c r="P14" s="4">
        <v>1</v>
      </c>
      <c r="Q14" s="59">
        <f>IF(N14=5,132*B14*P14,132*B14*P14/2)</f>
        <v>1320</v>
      </c>
      <c r="R14" s="52">
        <f>(M14-6)*Q14</f>
        <v>29040</v>
      </c>
      <c r="S14" s="52">
        <f>B14*2500*AB14*AI14*P14</f>
        <v>25000</v>
      </c>
      <c r="T14" s="52">
        <f t="shared" si="0"/>
        <v>3571.4285714285716</v>
      </c>
      <c r="U14" s="52">
        <f>B14*5000*AB14*AI14*P14</f>
        <v>50000</v>
      </c>
      <c r="V14" s="52">
        <f t="shared" si="1"/>
        <v>3571.4285714285716</v>
      </c>
      <c r="W14" s="52">
        <f>B14*10000*AB14*AI14*P14</f>
        <v>100000</v>
      </c>
      <c r="X14" s="53">
        <v>1</v>
      </c>
      <c r="Y14" s="53">
        <f t="shared" si="2"/>
        <v>0.5</v>
      </c>
      <c r="Z14" s="53"/>
      <c r="AA14" s="53"/>
      <c r="AB14" s="53">
        <f t="shared" si="3"/>
        <v>1</v>
      </c>
      <c r="AC14" s="53">
        <v>0.5</v>
      </c>
      <c r="AD14" s="53">
        <v>1</v>
      </c>
      <c r="AE14" s="53">
        <v>1.3</v>
      </c>
      <c r="AF14" s="53">
        <v>1.6</v>
      </c>
      <c r="AG14" s="53">
        <v>1.8</v>
      </c>
      <c r="AH14" s="53">
        <v>2</v>
      </c>
      <c r="AI14" s="53">
        <f t="shared" si="4"/>
        <v>1</v>
      </c>
      <c r="AJ14" s="54">
        <v>0</v>
      </c>
      <c r="AK14" s="54">
        <v>0.2</v>
      </c>
      <c r="AL14" s="54">
        <v>0.33300000000000002</v>
      </c>
      <c r="AM14" s="54">
        <v>0.35</v>
      </c>
      <c r="AN14" s="53">
        <f t="shared" si="5"/>
        <v>0</v>
      </c>
      <c r="AO14" s="52">
        <f>IF(M14&lt;=7,S14,IF(M14&lt;=14,S14+T14*(M14-7),IF(M14&lt;=31,U14+V14*(M14-14),(DATEDIF(K14,L14,"m")*W14)+W14/(EOMONTH(L14,0)-DATEVALUE(CONCATENATE("01.",MONTH(L14),".",YEAR(L14)))+1)*(DATEDIF(K14,L14,"md")+1))))</f>
        <v>100000</v>
      </c>
      <c r="AP14" s="22">
        <v>0.15</v>
      </c>
      <c r="AQ14" s="21">
        <v>0.5</v>
      </c>
      <c r="AR14" s="25">
        <f t="shared" si="6"/>
        <v>50000</v>
      </c>
      <c r="AT14" s="8">
        <f t="shared" ref="AT14:AT23" si="7">AR14/AU14*1000</f>
        <v>1366.0256667115937</v>
      </c>
      <c r="AU14" s="10">
        <f>39217/30*M14</f>
        <v>36602.533333333333</v>
      </c>
    </row>
    <row r="15" spans="1:47" ht="30">
      <c r="A15" s="63" t="s">
        <v>104</v>
      </c>
      <c r="B15" s="4">
        <v>1</v>
      </c>
      <c r="C15" s="40"/>
      <c r="D15" s="62" t="s">
        <v>92</v>
      </c>
      <c r="E15" s="62" t="s">
        <v>92</v>
      </c>
      <c r="F15" s="62" t="s">
        <v>92</v>
      </c>
      <c r="G15" s="62" t="s">
        <v>92</v>
      </c>
      <c r="H15" s="40" t="s">
        <v>121</v>
      </c>
      <c r="I15" s="9" t="s">
        <v>43</v>
      </c>
      <c r="J15" s="23" t="s">
        <v>44</v>
      </c>
      <c r="K15" s="57">
        <v>45689</v>
      </c>
      <c r="L15" s="60">
        <v>45716</v>
      </c>
      <c r="M15" s="3">
        <f t="shared" ref="M15:M23" si="8">L15-K15+1</f>
        <v>28</v>
      </c>
      <c r="N15" s="11">
        <v>5</v>
      </c>
      <c r="O15" s="12">
        <v>10</v>
      </c>
      <c r="P15" s="4">
        <v>1</v>
      </c>
      <c r="Q15" s="58">
        <f>IF(N15=5,132*B15*P15,132*B15*P15/2)</f>
        <v>132</v>
      </c>
      <c r="R15" s="5">
        <f>(M15-6)*Q15</f>
        <v>2904</v>
      </c>
      <c r="S15" s="5">
        <f>2500*AB15*AI15*P15</f>
        <v>2500</v>
      </c>
      <c r="T15" s="5">
        <f t="shared" si="0"/>
        <v>357.14285714285717</v>
      </c>
      <c r="U15" s="5">
        <f>5000*AB15*AI15*P15</f>
        <v>5000</v>
      </c>
      <c r="V15" s="5">
        <f t="shared" si="1"/>
        <v>357.14285714285717</v>
      </c>
      <c r="W15" s="5">
        <f>10000*AB15*AI15*P15</f>
        <v>10000</v>
      </c>
      <c r="X15" s="13">
        <v>1</v>
      </c>
      <c r="Y15" s="13">
        <f t="shared" si="2"/>
        <v>0.5</v>
      </c>
      <c r="Z15" s="13"/>
      <c r="AA15" s="13"/>
      <c r="AB15" s="13">
        <f t="shared" si="3"/>
        <v>1</v>
      </c>
      <c r="AC15" s="13">
        <v>0.5</v>
      </c>
      <c r="AD15" s="13">
        <v>1</v>
      </c>
      <c r="AE15" s="13">
        <v>1.3</v>
      </c>
      <c r="AF15" s="13">
        <v>1.6</v>
      </c>
      <c r="AG15" s="13">
        <v>1.8</v>
      </c>
      <c r="AH15" s="13">
        <v>2</v>
      </c>
      <c r="AI15" s="13">
        <f t="shared" si="4"/>
        <v>1</v>
      </c>
      <c r="AJ15" s="17">
        <v>0</v>
      </c>
      <c r="AK15" s="17">
        <v>0.2</v>
      </c>
      <c r="AL15" s="17">
        <v>0.33300000000000002</v>
      </c>
      <c r="AM15" s="17">
        <v>0.35</v>
      </c>
      <c r="AN15" s="13">
        <f t="shared" si="5"/>
        <v>0</v>
      </c>
      <c r="AO15" s="5">
        <f t="shared" ref="AO15:AO23" si="9">IF(M15&lt;=7,S15,IF(M15&lt;=14,S15+T15*(M15-7),IF(M15&lt;=31,U15+V15*(M15-14),(DATEDIF(K15,L15,"m")*W15)+W15/(EOMONTH(L15,0)-DATEVALUE(CONCATENATE("01.",MONTH(L15),".",YEAR(L15)))+1)*(DATEDIF(K15,L15,"md")+1))))</f>
        <v>10000</v>
      </c>
      <c r="AP15" s="22">
        <v>0.15</v>
      </c>
      <c r="AQ15" s="65">
        <v>0</v>
      </c>
      <c r="AR15" s="25">
        <f t="shared" si="6"/>
        <v>10000</v>
      </c>
      <c r="AT15" s="8">
        <f t="shared" si="7"/>
        <v>1973.5284056521853</v>
      </c>
      <c r="AU15" s="10">
        <f>5429/30*M15</f>
        <v>5067.0666666666666</v>
      </c>
    </row>
    <row r="16" spans="1:47" ht="30">
      <c r="A16" s="63" t="s">
        <v>105</v>
      </c>
      <c r="B16" s="4">
        <v>1</v>
      </c>
      <c r="C16" s="40"/>
      <c r="D16" s="62" t="s">
        <v>92</v>
      </c>
      <c r="E16" s="62" t="s">
        <v>92</v>
      </c>
      <c r="F16" s="62" t="s">
        <v>92</v>
      </c>
      <c r="G16" s="62" t="s">
        <v>92</v>
      </c>
      <c r="H16" s="40" t="s">
        <v>121</v>
      </c>
      <c r="I16" s="9" t="s">
        <v>106</v>
      </c>
      <c r="J16" s="23" t="s">
        <v>44</v>
      </c>
      <c r="K16" s="57">
        <v>45689</v>
      </c>
      <c r="L16" s="60">
        <v>45716</v>
      </c>
      <c r="M16" s="3">
        <f t="shared" si="8"/>
        <v>28</v>
      </c>
      <c r="N16" s="11">
        <v>5</v>
      </c>
      <c r="O16" s="12">
        <v>10</v>
      </c>
      <c r="P16" s="4">
        <v>1</v>
      </c>
      <c r="Q16" s="58">
        <f t="shared" ref="Q16:Q23" si="10">IF(N16=5,132*B16*P16,132*B16*P16/2)</f>
        <v>132</v>
      </c>
      <c r="R16" s="5">
        <f t="shared" ref="R16:R23" si="11">(M16-6)*Q16</f>
        <v>2904</v>
      </c>
      <c r="S16" s="5">
        <f t="shared" ref="S16:S23" si="12">2500*AB16*AI16*P16</f>
        <v>2500</v>
      </c>
      <c r="T16" s="5">
        <f t="shared" si="0"/>
        <v>357.14285714285717</v>
      </c>
      <c r="U16" s="5">
        <f t="shared" ref="U16:U23" si="13">5000*AB16*AI16*P16</f>
        <v>5000</v>
      </c>
      <c r="V16" s="5">
        <f t="shared" si="1"/>
        <v>357.14285714285717</v>
      </c>
      <c r="W16" s="5">
        <f t="shared" ref="W16:W23" si="14">10000*AB16*AI16*P16</f>
        <v>10000</v>
      </c>
      <c r="X16" s="13">
        <v>1</v>
      </c>
      <c r="Y16" s="13">
        <f t="shared" si="2"/>
        <v>0.5</v>
      </c>
      <c r="Z16" s="13"/>
      <c r="AA16" s="13"/>
      <c r="AB16" s="13">
        <f t="shared" si="3"/>
        <v>1</v>
      </c>
      <c r="AC16" s="13">
        <v>0.5</v>
      </c>
      <c r="AD16" s="13">
        <v>1</v>
      </c>
      <c r="AE16" s="13">
        <v>1.3</v>
      </c>
      <c r="AF16" s="13">
        <v>1.6</v>
      </c>
      <c r="AG16" s="13">
        <v>1.8</v>
      </c>
      <c r="AH16" s="13">
        <v>2</v>
      </c>
      <c r="AI16" s="13">
        <f t="shared" si="4"/>
        <v>1</v>
      </c>
      <c r="AJ16" s="17">
        <v>0</v>
      </c>
      <c r="AK16" s="17">
        <v>0.2</v>
      </c>
      <c r="AL16" s="17">
        <v>0.33300000000000002</v>
      </c>
      <c r="AM16" s="17">
        <v>0.35</v>
      </c>
      <c r="AN16" s="13">
        <f t="shared" si="5"/>
        <v>0</v>
      </c>
      <c r="AO16" s="5">
        <f t="shared" si="9"/>
        <v>10000</v>
      </c>
      <c r="AP16" s="22">
        <v>0.15</v>
      </c>
      <c r="AQ16" s="65">
        <v>0</v>
      </c>
      <c r="AR16" s="25">
        <f t="shared" si="6"/>
        <v>10000</v>
      </c>
      <c r="AT16" s="8">
        <f t="shared" si="7"/>
        <v>7039.6095363243858</v>
      </c>
      <c r="AU16" s="10">
        <f>1522/30*M16</f>
        <v>1420.5333333333333</v>
      </c>
    </row>
    <row r="17" spans="1:47" ht="30">
      <c r="A17" s="63" t="s">
        <v>107</v>
      </c>
      <c r="B17" s="4">
        <v>1</v>
      </c>
      <c r="C17" s="40"/>
      <c r="D17" s="62" t="s">
        <v>92</v>
      </c>
      <c r="E17" s="62" t="s">
        <v>92</v>
      </c>
      <c r="F17" s="62" t="s">
        <v>92</v>
      </c>
      <c r="G17" s="62" t="s">
        <v>92</v>
      </c>
      <c r="H17" s="40" t="s">
        <v>121</v>
      </c>
      <c r="I17" s="9" t="s">
        <v>108</v>
      </c>
      <c r="J17" s="23" t="s">
        <v>44</v>
      </c>
      <c r="K17" s="57">
        <v>45689</v>
      </c>
      <c r="L17" s="60">
        <v>45716</v>
      </c>
      <c r="M17" s="3">
        <f t="shared" si="8"/>
        <v>28</v>
      </c>
      <c r="N17" s="11">
        <v>5</v>
      </c>
      <c r="O17" s="12">
        <v>10</v>
      </c>
      <c r="P17" s="4">
        <v>1</v>
      </c>
      <c r="Q17" s="58">
        <f t="shared" si="10"/>
        <v>132</v>
      </c>
      <c r="R17" s="5">
        <f t="shared" si="11"/>
        <v>2904</v>
      </c>
      <c r="S17" s="5">
        <f t="shared" si="12"/>
        <v>2500</v>
      </c>
      <c r="T17" s="5">
        <f t="shared" si="0"/>
        <v>357.14285714285717</v>
      </c>
      <c r="U17" s="5">
        <f t="shared" si="13"/>
        <v>5000</v>
      </c>
      <c r="V17" s="5">
        <f t="shared" si="1"/>
        <v>357.14285714285717</v>
      </c>
      <c r="W17" s="5">
        <f t="shared" si="14"/>
        <v>10000</v>
      </c>
      <c r="X17" s="13">
        <v>1</v>
      </c>
      <c r="Y17" s="13">
        <f t="shared" si="2"/>
        <v>0.5</v>
      </c>
      <c r="Z17" s="13"/>
      <c r="AA17" s="13"/>
      <c r="AB17" s="13">
        <f t="shared" si="3"/>
        <v>1</v>
      </c>
      <c r="AC17" s="13">
        <v>0.5</v>
      </c>
      <c r="AD17" s="13">
        <v>1</v>
      </c>
      <c r="AE17" s="13">
        <v>1.3</v>
      </c>
      <c r="AF17" s="13">
        <v>1.6</v>
      </c>
      <c r="AG17" s="13">
        <v>1.8</v>
      </c>
      <c r="AH17" s="13">
        <v>2</v>
      </c>
      <c r="AI17" s="13">
        <f t="shared" si="4"/>
        <v>1</v>
      </c>
      <c r="AJ17" s="17">
        <v>0</v>
      </c>
      <c r="AK17" s="17">
        <v>0.2</v>
      </c>
      <c r="AL17" s="17">
        <v>0.33300000000000002</v>
      </c>
      <c r="AM17" s="17">
        <v>0.35</v>
      </c>
      <c r="AN17" s="13">
        <f t="shared" si="5"/>
        <v>0</v>
      </c>
      <c r="AO17" s="5">
        <f t="shared" si="9"/>
        <v>10000</v>
      </c>
      <c r="AP17" s="22">
        <v>0.15</v>
      </c>
      <c r="AQ17" s="65">
        <v>0</v>
      </c>
      <c r="AR17" s="25">
        <f t="shared" si="6"/>
        <v>10000</v>
      </c>
      <c r="AT17" s="8">
        <f t="shared" si="7"/>
        <v>2869.3855689035122</v>
      </c>
      <c r="AU17" s="10">
        <f>3734/30*M17</f>
        <v>3485.0666666666666</v>
      </c>
    </row>
    <row r="18" spans="1:47" ht="30">
      <c r="A18" s="63" t="s">
        <v>109</v>
      </c>
      <c r="B18" s="4">
        <v>1</v>
      </c>
      <c r="C18" s="40"/>
      <c r="D18" s="62" t="s">
        <v>92</v>
      </c>
      <c r="E18" s="62" t="s">
        <v>92</v>
      </c>
      <c r="F18" s="62" t="s">
        <v>92</v>
      </c>
      <c r="G18" s="62" t="s">
        <v>92</v>
      </c>
      <c r="H18" s="40" t="s">
        <v>121</v>
      </c>
      <c r="I18" s="9" t="s">
        <v>110</v>
      </c>
      <c r="J18" s="23" t="s">
        <v>44</v>
      </c>
      <c r="K18" s="57">
        <v>45689</v>
      </c>
      <c r="L18" s="60">
        <v>45716</v>
      </c>
      <c r="M18" s="3">
        <f t="shared" si="8"/>
        <v>28</v>
      </c>
      <c r="N18" s="11">
        <v>5</v>
      </c>
      <c r="O18" s="12">
        <v>10</v>
      </c>
      <c r="P18" s="4">
        <v>1</v>
      </c>
      <c r="Q18" s="58">
        <f t="shared" si="10"/>
        <v>132</v>
      </c>
      <c r="R18" s="5">
        <f t="shared" si="11"/>
        <v>2904</v>
      </c>
      <c r="S18" s="5">
        <f t="shared" si="12"/>
        <v>2500</v>
      </c>
      <c r="T18" s="5">
        <f t="shared" si="0"/>
        <v>357.14285714285717</v>
      </c>
      <c r="U18" s="5">
        <f t="shared" si="13"/>
        <v>5000</v>
      </c>
      <c r="V18" s="5">
        <f t="shared" si="1"/>
        <v>357.14285714285717</v>
      </c>
      <c r="W18" s="5">
        <f t="shared" si="14"/>
        <v>10000</v>
      </c>
      <c r="X18" s="13">
        <v>1</v>
      </c>
      <c r="Y18" s="13">
        <f t="shared" si="2"/>
        <v>0.5</v>
      </c>
      <c r="Z18" s="13"/>
      <c r="AA18" s="13"/>
      <c r="AB18" s="13">
        <f t="shared" si="3"/>
        <v>1</v>
      </c>
      <c r="AC18" s="13">
        <v>0.5</v>
      </c>
      <c r="AD18" s="13">
        <v>1</v>
      </c>
      <c r="AE18" s="13">
        <v>1.3</v>
      </c>
      <c r="AF18" s="13">
        <v>1.6</v>
      </c>
      <c r="AG18" s="13">
        <v>1.8</v>
      </c>
      <c r="AH18" s="13">
        <v>2</v>
      </c>
      <c r="AI18" s="13">
        <f t="shared" si="4"/>
        <v>1</v>
      </c>
      <c r="AJ18" s="17">
        <v>0</v>
      </c>
      <c r="AK18" s="17">
        <v>0.2</v>
      </c>
      <c r="AL18" s="17">
        <v>0.33300000000000002</v>
      </c>
      <c r="AM18" s="17">
        <v>0.35</v>
      </c>
      <c r="AN18" s="13">
        <f t="shared" si="5"/>
        <v>0</v>
      </c>
      <c r="AO18" s="5">
        <f t="shared" si="9"/>
        <v>10000</v>
      </c>
      <c r="AP18" s="22">
        <v>0.15</v>
      </c>
      <c r="AQ18" s="65">
        <v>0</v>
      </c>
      <c r="AR18" s="25">
        <f t="shared" si="6"/>
        <v>10000</v>
      </c>
      <c r="AT18" s="8">
        <f t="shared" si="7"/>
        <v>1344.1582880800045</v>
      </c>
      <c r="AU18" s="10">
        <f>7971/30*M18</f>
        <v>7439.5999999999995</v>
      </c>
    </row>
    <row r="19" spans="1:47" ht="30">
      <c r="A19" s="63" t="s">
        <v>111</v>
      </c>
      <c r="B19" s="4">
        <v>1</v>
      </c>
      <c r="C19" s="40"/>
      <c r="D19" s="62" t="s">
        <v>92</v>
      </c>
      <c r="E19" s="62" t="s">
        <v>92</v>
      </c>
      <c r="F19" s="62" t="s">
        <v>92</v>
      </c>
      <c r="G19" s="62" t="s">
        <v>92</v>
      </c>
      <c r="H19" s="40" t="s">
        <v>121</v>
      </c>
      <c r="I19" s="9" t="s">
        <v>108</v>
      </c>
      <c r="J19" s="23" t="s">
        <v>44</v>
      </c>
      <c r="K19" s="57">
        <v>45689</v>
      </c>
      <c r="L19" s="60">
        <v>45716</v>
      </c>
      <c r="M19" s="3">
        <f t="shared" si="8"/>
        <v>28</v>
      </c>
      <c r="N19" s="11">
        <v>5</v>
      </c>
      <c r="O19" s="12">
        <v>10</v>
      </c>
      <c r="P19" s="4">
        <v>1</v>
      </c>
      <c r="Q19" s="58">
        <f t="shared" si="10"/>
        <v>132</v>
      </c>
      <c r="R19" s="5">
        <f t="shared" si="11"/>
        <v>2904</v>
      </c>
      <c r="S19" s="5">
        <f t="shared" si="12"/>
        <v>2500</v>
      </c>
      <c r="T19" s="5">
        <f t="shared" si="0"/>
        <v>357.14285714285717</v>
      </c>
      <c r="U19" s="5">
        <f t="shared" si="13"/>
        <v>5000</v>
      </c>
      <c r="V19" s="5">
        <f t="shared" si="1"/>
        <v>357.14285714285717</v>
      </c>
      <c r="W19" s="5">
        <f t="shared" si="14"/>
        <v>10000</v>
      </c>
      <c r="X19" s="13">
        <v>1</v>
      </c>
      <c r="Y19" s="13">
        <f t="shared" si="2"/>
        <v>0.5</v>
      </c>
      <c r="Z19" s="13"/>
      <c r="AA19" s="13"/>
      <c r="AB19" s="13">
        <f t="shared" si="3"/>
        <v>1</v>
      </c>
      <c r="AC19" s="13">
        <v>0.5</v>
      </c>
      <c r="AD19" s="13">
        <v>1</v>
      </c>
      <c r="AE19" s="13">
        <v>1.3</v>
      </c>
      <c r="AF19" s="13">
        <v>1.6</v>
      </c>
      <c r="AG19" s="13">
        <v>1.8</v>
      </c>
      <c r="AH19" s="13">
        <v>2</v>
      </c>
      <c r="AI19" s="13">
        <f t="shared" si="4"/>
        <v>1</v>
      </c>
      <c r="AJ19" s="17">
        <v>0</v>
      </c>
      <c r="AK19" s="17">
        <v>0.2</v>
      </c>
      <c r="AL19" s="17">
        <v>0.33300000000000002</v>
      </c>
      <c r="AM19" s="17">
        <v>0.35</v>
      </c>
      <c r="AN19" s="13">
        <f t="shared" si="5"/>
        <v>0</v>
      </c>
      <c r="AO19" s="5">
        <f t="shared" si="9"/>
        <v>10000</v>
      </c>
      <c r="AP19" s="22">
        <v>0.15</v>
      </c>
      <c r="AQ19" s="65">
        <v>0</v>
      </c>
      <c r="AR19" s="25">
        <f t="shared" si="6"/>
        <v>10000</v>
      </c>
      <c r="AT19" s="8">
        <f t="shared" si="7"/>
        <v>1148.1232012736514</v>
      </c>
      <c r="AU19" s="10">
        <f>9332/30*M19</f>
        <v>8709.8666666666668</v>
      </c>
    </row>
    <row r="20" spans="1:47" ht="30">
      <c r="A20" s="63" t="s">
        <v>112</v>
      </c>
      <c r="B20" s="4">
        <v>1</v>
      </c>
      <c r="C20" s="40"/>
      <c r="D20" s="62" t="s">
        <v>92</v>
      </c>
      <c r="E20" s="62" t="s">
        <v>92</v>
      </c>
      <c r="F20" s="62" t="s">
        <v>92</v>
      </c>
      <c r="G20" s="62" t="s">
        <v>92</v>
      </c>
      <c r="H20" s="40" t="s">
        <v>121</v>
      </c>
      <c r="I20" s="9" t="s">
        <v>108</v>
      </c>
      <c r="J20" s="23" t="s">
        <v>44</v>
      </c>
      <c r="K20" s="57">
        <v>45689</v>
      </c>
      <c r="L20" s="60">
        <v>45716</v>
      </c>
      <c r="M20" s="3">
        <f t="shared" si="8"/>
        <v>28</v>
      </c>
      <c r="N20" s="11">
        <v>5</v>
      </c>
      <c r="O20" s="12">
        <v>10</v>
      </c>
      <c r="P20" s="4">
        <v>1</v>
      </c>
      <c r="Q20" s="58">
        <f t="shared" si="10"/>
        <v>132</v>
      </c>
      <c r="R20" s="5">
        <f t="shared" si="11"/>
        <v>2904</v>
      </c>
      <c r="S20" s="5">
        <f t="shared" si="12"/>
        <v>2500</v>
      </c>
      <c r="T20" s="5">
        <f t="shared" si="0"/>
        <v>357.14285714285717</v>
      </c>
      <c r="U20" s="5">
        <f t="shared" si="13"/>
        <v>5000</v>
      </c>
      <c r="V20" s="5">
        <f t="shared" si="1"/>
        <v>357.14285714285717</v>
      </c>
      <c r="W20" s="5">
        <f t="shared" si="14"/>
        <v>10000</v>
      </c>
      <c r="X20" s="13">
        <v>1</v>
      </c>
      <c r="Y20" s="13">
        <f t="shared" si="2"/>
        <v>0.5</v>
      </c>
      <c r="Z20" s="13"/>
      <c r="AA20" s="13"/>
      <c r="AB20" s="13">
        <f t="shared" si="3"/>
        <v>1</v>
      </c>
      <c r="AC20" s="13">
        <v>0.5</v>
      </c>
      <c r="AD20" s="13">
        <v>1</v>
      </c>
      <c r="AE20" s="13">
        <v>1.3</v>
      </c>
      <c r="AF20" s="13">
        <v>1.6</v>
      </c>
      <c r="AG20" s="13">
        <v>1.8</v>
      </c>
      <c r="AH20" s="13">
        <v>2</v>
      </c>
      <c r="AI20" s="13">
        <f t="shared" si="4"/>
        <v>1</v>
      </c>
      <c r="AJ20" s="17">
        <v>0</v>
      </c>
      <c r="AK20" s="17">
        <v>0.2</v>
      </c>
      <c r="AL20" s="17">
        <v>0.33300000000000002</v>
      </c>
      <c r="AM20" s="17">
        <v>0.35</v>
      </c>
      <c r="AN20" s="13">
        <f t="shared" si="5"/>
        <v>0</v>
      </c>
      <c r="AO20" s="5">
        <f t="shared" si="9"/>
        <v>10000</v>
      </c>
      <c r="AP20" s="22">
        <v>0.15</v>
      </c>
      <c r="AQ20" s="65">
        <v>0</v>
      </c>
      <c r="AR20" s="25">
        <f t="shared" si="6"/>
        <v>10000</v>
      </c>
      <c r="AT20" s="8">
        <f t="shared" si="7"/>
        <v>2350.6550492070455</v>
      </c>
      <c r="AU20" s="10">
        <f>4558/30*M20</f>
        <v>4254.1333333333332</v>
      </c>
    </row>
    <row r="21" spans="1:47" ht="30">
      <c r="A21" s="63" t="s">
        <v>113</v>
      </c>
      <c r="B21" s="4">
        <v>1</v>
      </c>
      <c r="C21" s="40"/>
      <c r="D21" s="62" t="s">
        <v>92</v>
      </c>
      <c r="E21" s="62" t="s">
        <v>92</v>
      </c>
      <c r="F21" s="62" t="s">
        <v>92</v>
      </c>
      <c r="G21" s="62" t="s">
        <v>92</v>
      </c>
      <c r="H21" s="40" t="s">
        <v>121</v>
      </c>
      <c r="I21" s="9" t="s">
        <v>108</v>
      </c>
      <c r="J21" s="23" t="s">
        <v>44</v>
      </c>
      <c r="K21" s="57">
        <v>45689</v>
      </c>
      <c r="L21" s="60">
        <v>45716</v>
      </c>
      <c r="M21" s="3">
        <f t="shared" si="8"/>
        <v>28</v>
      </c>
      <c r="N21" s="11">
        <v>5</v>
      </c>
      <c r="O21" s="12">
        <v>10</v>
      </c>
      <c r="P21" s="4">
        <v>1</v>
      </c>
      <c r="Q21" s="58">
        <f t="shared" si="10"/>
        <v>132</v>
      </c>
      <c r="R21" s="5">
        <f t="shared" si="11"/>
        <v>2904</v>
      </c>
      <c r="S21" s="5">
        <f t="shared" si="12"/>
        <v>2500</v>
      </c>
      <c r="T21" s="5">
        <f t="shared" si="0"/>
        <v>357.14285714285717</v>
      </c>
      <c r="U21" s="5">
        <f t="shared" si="13"/>
        <v>5000</v>
      </c>
      <c r="V21" s="5">
        <f t="shared" si="1"/>
        <v>357.14285714285717</v>
      </c>
      <c r="W21" s="5">
        <f t="shared" si="14"/>
        <v>10000</v>
      </c>
      <c r="X21" s="13">
        <v>1</v>
      </c>
      <c r="Y21" s="13">
        <f t="shared" si="2"/>
        <v>0.5</v>
      </c>
      <c r="Z21" s="13"/>
      <c r="AA21" s="13"/>
      <c r="AB21" s="13">
        <f t="shared" si="3"/>
        <v>1</v>
      </c>
      <c r="AC21" s="13">
        <v>0.5</v>
      </c>
      <c r="AD21" s="13">
        <v>1</v>
      </c>
      <c r="AE21" s="13">
        <v>1.3</v>
      </c>
      <c r="AF21" s="13">
        <v>1.6</v>
      </c>
      <c r="AG21" s="13">
        <v>1.8</v>
      </c>
      <c r="AH21" s="13">
        <v>2</v>
      </c>
      <c r="AI21" s="13">
        <f t="shared" si="4"/>
        <v>1</v>
      </c>
      <c r="AJ21" s="17">
        <v>0</v>
      </c>
      <c r="AK21" s="17">
        <v>0.2</v>
      </c>
      <c r="AL21" s="17">
        <v>0.33300000000000002</v>
      </c>
      <c r="AM21" s="17">
        <v>0.35</v>
      </c>
      <c r="AN21" s="13">
        <f t="shared" si="5"/>
        <v>0</v>
      </c>
      <c r="AO21" s="5">
        <f t="shared" si="9"/>
        <v>10000</v>
      </c>
      <c r="AP21" s="22">
        <v>0.15</v>
      </c>
      <c r="AQ21" s="65">
        <v>0</v>
      </c>
      <c r="AR21" s="25">
        <f t="shared" si="6"/>
        <v>10000</v>
      </c>
      <c r="AT21" s="8">
        <f t="shared" si="7"/>
        <v>7435.3127788242291</v>
      </c>
      <c r="AU21" s="10">
        <f>1441/30*M21</f>
        <v>1344.9333333333334</v>
      </c>
    </row>
    <row r="22" spans="1:47" ht="30">
      <c r="A22" s="63" t="s">
        <v>114</v>
      </c>
      <c r="B22" s="4">
        <v>1</v>
      </c>
      <c r="C22" s="40"/>
      <c r="D22" s="62" t="s">
        <v>92</v>
      </c>
      <c r="E22" s="62" t="s">
        <v>92</v>
      </c>
      <c r="F22" s="62" t="s">
        <v>92</v>
      </c>
      <c r="G22" s="62" t="s">
        <v>92</v>
      </c>
      <c r="H22" s="40" t="s">
        <v>121</v>
      </c>
      <c r="I22" s="9" t="s">
        <v>43</v>
      </c>
      <c r="J22" s="23" t="s">
        <v>44</v>
      </c>
      <c r="K22" s="57">
        <v>45689</v>
      </c>
      <c r="L22" s="60">
        <v>45716</v>
      </c>
      <c r="M22" s="3">
        <f t="shared" si="8"/>
        <v>28</v>
      </c>
      <c r="N22" s="11">
        <v>5</v>
      </c>
      <c r="O22" s="12">
        <v>10</v>
      </c>
      <c r="P22" s="4">
        <v>1</v>
      </c>
      <c r="Q22" s="58">
        <f t="shared" si="10"/>
        <v>132</v>
      </c>
      <c r="R22" s="5">
        <f t="shared" si="11"/>
        <v>2904</v>
      </c>
      <c r="S22" s="5">
        <f t="shared" si="12"/>
        <v>2500</v>
      </c>
      <c r="T22" s="5">
        <f t="shared" si="0"/>
        <v>357.14285714285717</v>
      </c>
      <c r="U22" s="5">
        <f t="shared" si="13"/>
        <v>5000</v>
      </c>
      <c r="V22" s="5">
        <f t="shared" si="1"/>
        <v>357.14285714285717</v>
      </c>
      <c r="W22" s="5">
        <f t="shared" si="14"/>
        <v>10000</v>
      </c>
      <c r="X22" s="13">
        <v>1</v>
      </c>
      <c r="Y22" s="13">
        <f t="shared" si="2"/>
        <v>0.5</v>
      </c>
      <c r="Z22" s="13"/>
      <c r="AA22" s="13"/>
      <c r="AB22" s="13">
        <f t="shared" si="3"/>
        <v>1</v>
      </c>
      <c r="AC22" s="13">
        <v>0.5</v>
      </c>
      <c r="AD22" s="13">
        <v>1</v>
      </c>
      <c r="AE22" s="13">
        <v>1.3</v>
      </c>
      <c r="AF22" s="13">
        <v>1.6</v>
      </c>
      <c r="AG22" s="13">
        <v>1.8</v>
      </c>
      <c r="AH22" s="13">
        <v>2</v>
      </c>
      <c r="AI22" s="13">
        <f t="shared" si="4"/>
        <v>1</v>
      </c>
      <c r="AJ22" s="17">
        <v>0</v>
      </c>
      <c r="AK22" s="17">
        <v>0.2</v>
      </c>
      <c r="AL22" s="17">
        <v>0.33300000000000002</v>
      </c>
      <c r="AM22" s="17">
        <v>0.35</v>
      </c>
      <c r="AN22" s="13">
        <f t="shared" si="5"/>
        <v>0</v>
      </c>
      <c r="AO22" s="5">
        <f t="shared" si="9"/>
        <v>10000</v>
      </c>
      <c r="AP22" s="22">
        <v>0.15</v>
      </c>
      <c r="AQ22" s="65">
        <v>0</v>
      </c>
      <c r="AR22" s="25">
        <f t="shared" si="6"/>
        <v>10000</v>
      </c>
      <c r="AT22" s="8">
        <f t="shared" si="7"/>
        <v>4622.2112658695924</v>
      </c>
      <c r="AU22" s="10">
        <f>2318/30*M22</f>
        <v>2163.4666666666667</v>
      </c>
    </row>
    <row r="23" spans="1:47" ht="30">
      <c r="A23" s="63" t="s">
        <v>115</v>
      </c>
      <c r="B23" s="4">
        <v>1</v>
      </c>
      <c r="C23" s="40"/>
      <c r="D23" s="62" t="s">
        <v>92</v>
      </c>
      <c r="E23" s="62" t="s">
        <v>92</v>
      </c>
      <c r="F23" s="62" t="s">
        <v>92</v>
      </c>
      <c r="G23" s="62" t="s">
        <v>92</v>
      </c>
      <c r="H23" s="40" t="s">
        <v>121</v>
      </c>
      <c r="I23" s="9" t="s">
        <v>116</v>
      </c>
      <c r="J23" s="23" t="s">
        <v>44</v>
      </c>
      <c r="K23" s="57">
        <v>45689</v>
      </c>
      <c r="L23" s="60">
        <v>45716</v>
      </c>
      <c r="M23" s="3">
        <f t="shared" si="8"/>
        <v>28</v>
      </c>
      <c r="N23" s="11">
        <v>5</v>
      </c>
      <c r="O23" s="12">
        <v>10</v>
      </c>
      <c r="P23" s="4">
        <v>1</v>
      </c>
      <c r="Q23" s="58">
        <f t="shared" si="10"/>
        <v>132</v>
      </c>
      <c r="R23" s="5">
        <f t="shared" si="11"/>
        <v>2904</v>
      </c>
      <c r="S23" s="5">
        <f t="shared" si="12"/>
        <v>2500</v>
      </c>
      <c r="T23" s="5">
        <f t="shared" si="0"/>
        <v>357.14285714285717</v>
      </c>
      <c r="U23" s="5">
        <f t="shared" si="13"/>
        <v>5000</v>
      </c>
      <c r="V23" s="5">
        <f t="shared" si="1"/>
        <v>357.14285714285717</v>
      </c>
      <c r="W23" s="5">
        <f t="shared" si="14"/>
        <v>10000</v>
      </c>
      <c r="X23" s="13">
        <v>1</v>
      </c>
      <c r="Y23" s="13">
        <f t="shared" si="2"/>
        <v>0.5</v>
      </c>
      <c r="Z23" s="13"/>
      <c r="AA23" s="13"/>
      <c r="AB23" s="13">
        <f t="shared" si="3"/>
        <v>1</v>
      </c>
      <c r="AC23" s="13">
        <v>0.5</v>
      </c>
      <c r="AD23" s="13">
        <v>1</v>
      </c>
      <c r="AE23" s="13">
        <v>1.3</v>
      </c>
      <c r="AF23" s="13">
        <v>1.6</v>
      </c>
      <c r="AG23" s="13">
        <v>1.8</v>
      </c>
      <c r="AH23" s="13">
        <v>2</v>
      </c>
      <c r="AI23" s="13">
        <f t="shared" si="4"/>
        <v>1</v>
      </c>
      <c r="AJ23" s="17">
        <v>0</v>
      </c>
      <c r="AK23" s="17">
        <v>0.2</v>
      </c>
      <c r="AL23" s="17">
        <v>0.33300000000000002</v>
      </c>
      <c r="AM23" s="17">
        <v>0.35</v>
      </c>
      <c r="AN23" s="13">
        <f t="shared" si="5"/>
        <v>0</v>
      </c>
      <c r="AO23" s="5">
        <f t="shared" si="9"/>
        <v>10000</v>
      </c>
      <c r="AP23" s="22">
        <v>0.15</v>
      </c>
      <c r="AQ23" s="65">
        <v>0</v>
      </c>
      <c r="AR23" s="25">
        <f t="shared" si="6"/>
        <v>10000</v>
      </c>
      <c r="AT23" s="8">
        <f t="shared" si="7"/>
        <v>3679.3563579277866</v>
      </c>
      <c r="AU23" s="10">
        <f>2912/30*M23</f>
        <v>2717.8666666666668</v>
      </c>
    </row>
    <row r="24" spans="1:47" ht="30">
      <c r="A24" s="63" t="s">
        <v>123</v>
      </c>
      <c r="B24" s="4">
        <v>1</v>
      </c>
      <c r="C24" s="40"/>
      <c r="D24" s="62" t="s">
        <v>92</v>
      </c>
      <c r="E24" s="62" t="s">
        <v>92</v>
      </c>
      <c r="F24" s="62" t="s">
        <v>92</v>
      </c>
      <c r="G24" s="62" t="s">
        <v>92</v>
      </c>
      <c r="H24" s="40" t="s">
        <v>121</v>
      </c>
      <c r="I24" s="9" t="s">
        <v>116</v>
      </c>
      <c r="J24" s="23" t="s">
        <v>44</v>
      </c>
      <c r="K24" s="57">
        <v>45689</v>
      </c>
      <c r="L24" s="60">
        <v>45716</v>
      </c>
      <c r="M24" s="3">
        <f t="shared" ref="M24" si="15">L24-K24+1</f>
        <v>28</v>
      </c>
      <c r="N24" s="11">
        <v>5</v>
      </c>
      <c r="O24" s="12">
        <v>10</v>
      </c>
      <c r="P24" s="4">
        <v>1</v>
      </c>
      <c r="Q24" s="58">
        <f t="shared" ref="Q24" si="16">IF(N24=5,132*B24*P24,132*B24*P24/2)</f>
        <v>132</v>
      </c>
      <c r="R24" s="5">
        <f t="shared" ref="R24" si="17">(M24-6)*Q24</f>
        <v>2904</v>
      </c>
      <c r="S24" s="5">
        <f t="shared" ref="S24" si="18">2500*AB24*AI24*P24</f>
        <v>2500</v>
      </c>
      <c r="T24" s="5">
        <f t="shared" ref="T24" si="19">(U24-S24)/7</f>
        <v>357.14285714285717</v>
      </c>
      <c r="U24" s="5">
        <f t="shared" ref="U24" si="20">5000*AB24*AI24*P24</f>
        <v>5000</v>
      </c>
      <c r="V24" s="5">
        <f t="shared" ref="V24" si="21">(W24-U24)/(EOMONTH(K24,0)-DATEVALUE(CONCATENATE("01.",MONTH(K24),".",YEAR(K24)))+1-14)</f>
        <v>357.14285714285717</v>
      </c>
      <c r="W24" s="5">
        <f t="shared" ref="W24" si="22">10000*AB24*AI24*P24</f>
        <v>10000</v>
      </c>
      <c r="X24" s="13">
        <v>1</v>
      </c>
      <c r="Y24" s="13">
        <f t="shared" si="2"/>
        <v>0.5</v>
      </c>
      <c r="Z24" s="13"/>
      <c r="AA24" s="13"/>
      <c r="AB24" s="13">
        <f t="shared" ref="AB24" si="23">IF(N24=5,X24,Y24)</f>
        <v>1</v>
      </c>
      <c r="AC24" s="13">
        <v>0.5</v>
      </c>
      <c r="AD24" s="13">
        <v>1</v>
      </c>
      <c r="AE24" s="13">
        <v>1.3</v>
      </c>
      <c r="AF24" s="13">
        <v>1.6</v>
      </c>
      <c r="AG24" s="13">
        <v>1.8</v>
      </c>
      <c r="AH24" s="13">
        <v>2</v>
      </c>
      <c r="AI24" s="13">
        <f t="shared" ref="AI24" si="24">IF(O24=5,AC24,IF(O24=10,AD24,IF(O24=15,AE24,IF(O24=20,AF24,IF(O24=25,AG24,IF(O24=30,AH24,"ошибка"))))))</f>
        <v>1</v>
      </c>
      <c r="AJ24" s="17">
        <v>0</v>
      </c>
      <c r="AK24" s="17">
        <v>0.2</v>
      </c>
      <c r="AL24" s="17">
        <v>0.33300000000000002</v>
      </c>
      <c r="AM24" s="17">
        <v>0.35</v>
      </c>
      <c r="AN24" s="13">
        <f t="shared" ref="AN24" si="25">IF(P24=1,AJ24,IF(P24=2,AK24,IF(P24=3,AL24,IF(P24&gt;3,AM24,"ошибка"))))</f>
        <v>0</v>
      </c>
      <c r="AO24" s="5">
        <f t="shared" ref="AO24" si="26">IF(M24&lt;=7,S24,IF(M24&lt;=14,S24+T24*(M24-7),IF(M24&lt;=31,U24+V24*(M24-14),(DATEDIF(K24,L24,"m")*W24)+W24/(EOMONTH(L24,0)-DATEVALUE(CONCATENATE("01.",MONTH(L24),".",YEAR(L24)))+1)*(DATEDIF(K24,L24,"md")+1))))</f>
        <v>10000</v>
      </c>
      <c r="AP24" s="22">
        <v>0.15</v>
      </c>
      <c r="AQ24" s="65">
        <v>0</v>
      </c>
      <c r="AR24" s="25">
        <f t="shared" ref="AR24" si="27">AO24-AO24*AQ24</f>
        <v>10000</v>
      </c>
      <c r="AT24" s="8">
        <f t="shared" ref="AT24" si="28">AR24/AU24*1000</f>
        <v>3679.3563579277866</v>
      </c>
      <c r="AU24" s="10">
        <f>2912/30*M24</f>
        <v>2717.8666666666668</v>
      </c>
    </row>
    <row r="26" spans="1:47" ht="60">
      <c r="A26" s="41" t="s">
        <v>66</v>
      </c>
      <c r="B26" s="41" t="s">
        <v>67</v>
      </c>
      <c r="C26" s="41" t="s">
        <v>14</v>
      </c>
      <c r="D26" s="41" t="s">
        <v>97</v>
      </c>
      <c r="E26" s="41" t="s">
        <v>16</v>
      </c>
      <c r="F26" s="41" t="s">
        <v>17</v>
      </c>
      <c r="G26" s="41" t="s">
        <v>72</v>
      </c>
      <c r="H26" s="41" t="s">
        <v>18</v>
      </c>
      <c r="I26" s="41" t="s">
        <v>99</v>
      </c>
      <c r="J26" s="41" t="s">
        <v>45</v>
      </c>
      <c r="K26" s="41" t="s">
        <v>5</v>
      </c>
      <c r="L26" s="41" t="s">
        <v>6</v>
      </c>
      <c r="M26" s="41" t="s">
        <v>7</v>
      </c>
      <c r="N26" s="41" t="s">
        <v>50</v>
      </c>
      <c r="O26" s="41" t="s">
        <v>0</v>
      </c>
      <c r="P26" s="41" t="s">
        <v>4</v>
      </c>
      <c r="Q26" s="41" t="s">
        <v>102</v>
      </c>
      <c r="R26" s="41" t="s">
        <v>8</v>
      </c>
      <c r="S26" s="15" t="s">
        <v>20</v>
      </c>
      <c r="T26" s="14" t="s">
        <v>26</v>
      </c>
      <c r="U26" s="15" t="s">
        <v>21</v>
      </c>
      <c r="V26" s="14" t="s">
        <v>27</v>
      </c>
      <c r="W26" s="15" t="s">
        <v>22</v>
      </c>
      <c r="X26" s="16" t="s">
        <v>29</v>
      </c>
      <c r="Y26" s="16" t="s">
        <v>30</v>
      </c>
      <c r="Z26" s="16"/>
      <c r="AA26" s="16"/>
      <c r="AB26" s="41" t="s">
        <v>28</v>
      </c>
      <c r="AC26" s="16" t="s">
        <v>31</v>
      </c>
      <c r="AD26" s="16" t="s">
        <v>32</v>
      </c>
      <c r="AE26" s="16" t="s">
        <v>33</v>
      </c>
      <c r="AF26" s="16" t="s">
        <v>34</v>
      </c>
      <c r="AG26" s="16" t="s">
        <v>35</v>
      </c>
      <c r="AH26" s="16" t="s">
        <v>36</v>
      </c>
      <c r="AI26" s="41" t="s">
        <v>23</v>
      </c>
      <c r="AJ26" s="16" t="s">
        <v>37</v>
      </c>
      <c r="AK26" s="16" t="s">
        <v>38</v>
      </c>
      <c r="AL26" s="16" t="s">
        <v>39</v>
      </c>
      <c r="AM26" s="16" t="s">
        <v>40</v>
      </c>
      <c r="AN26" s="41" t="s">
        <v>25</v>
      </c>
      <c r="AO26" s="41" t="s">
        <v>1</v>
      </c>
      <c r="AP26" s="15" t="s">
        <v>24</v>
      </c>
      <c r="AQ26" s="41" t="s">
        <v>2</v>
      </c>
      <c r="AR26" s="41" t="s">
        <v>3</v>
      </c>
      <c r="AT26" s="41" t="s">
        <v>41</v>
      </c>
      <c r="AU26" s="41" t="s">
        <v>15</v>
      </c>
    </row>
    <row r="27" spans="1:47" ht="30">
      <c r="A27" s="15" t="s">
        <v>124</v>
      </c>
      <c r="B27" s="4">
        <v>4</v>
      </c>
      <c r="C27" s="40"/>
      <c r="D27" s="47"/>
      <c r="E27" s="49"/>
      <c r="F27" s="49"/>
      <c r="G27" s="64"/>
      <c r="H27" s="15" t="s">
        <v>121</v>
      </c>
      <c r="I27" s="50" t="s">
        <v>43</v>
      </c>
      <c r="J27" s="51" t="s">
        <v>44</v>
      </c>
      <c r="K27" s="57">
        <v>45689</v>
      </c>
      <c r="L27" s="60">
        <v>45716</v>
      </c>
      <c r="M27" s="48">
        <f>L27-K27+1</f>
        <v>28</v>
      </c>
      <c r="N27" s="11">
        <v>5</v>
      </c>
      <c r="O27" s="12">
        <v>10</v>
      </c>
      <c r="P27" s="4">
        <v>2</v>
      </c>
      <c r="Q27" s="59">
        <f>IF(N27=5,132*B27*P27,132*B27*P27/2)</f>
        <v>1056</v>
      </c>
      <c r="R27" s="52">
        <f>(M27-6)*Q27</f>
        <v>23232</v>
      </c>
      <c r="S27" s="52">
        <f>B27*2500*AB27*AI27*P27</f>
        <v>20000</v>
      </c>
      <c r="T27" s="52">
        <f t="shared" ref="T27" si="29">(U27-S27)/7</f>
        <v>2857.1428571428573</v>
      </c>
      <c r="U27" s="52">
        <f>B27*5000*AB27*AI27*P27</f>
        <v>40000</v>
      </c>
      <c r="V27" s="52">
        <f t="shared" ref="V27" si="30">(W27-U27)/(EOMONTH(K27,0)-DATEVALUE(CONCATENATE("01.",MONTH(K27),".",YEAR(K27)))+1-14)</f>
        <v>2857.1428571428573</v>
      </c>
      <c r="W27" s="52">
        <f>B27*10000*AB27*AI27*P27</f>
        <v>80000</v>
      </c>
      <c r="X27" s="53">
        <v>1</v>
      </c>
      <c r="Y27" s="53">
        <f t="shared" ref="Y27:Y32" si="31">1/2</f>
        <v>0.5</v>
      </c>
      <c r="Z27" s="53"/>
      <c r="AA27" s="53"/>
      <c r="AB27" s="53">
        <f t="shared" ref="AB27" si="32">IF(N27=5,X27,Y27)</f>
        <v>1</v>
      </c>
      <c r="AC27" s="53">
        <v>0.5</v>
      </c>
      <c r="AD27" s="53">
        <v>1</v>
      </c>
      <c r="AE27" s="53">
        <v>1.3</v>
      </c>
      <c r="AF27" s="53">
        <v>1.6</v>
      </c>
      <c r="AG27" s="53">
        <v>1.8</v>
      </c>
      <c r="AH27" s="53">
        <v>2</v>
      </c>
      <c r="AI27" s="53">
        <f t="shared" ref="AI27" si="33">IF(O27=5,AC27,IF(O27=10,AD27,IF(O27=15,AE27,IF(O27=20,AF27,IF(O27=25,AG27,IF(O27=30,AH27,"ошибка"))))))</f>
        <v>1</v>
      </c>
      <c r="AJ27" s="54">
        <v>0</v>
      </c>
      <c r="AK27" s="54">
        <v>0.2</v>
      </c>
      <c r="AL27" s="54">
        <v>0.33300000000000002</v>
      </c>
      <c r="AM27" s="54">
        <v>0.35</v>
      </c>
      <c r="AN27" s="53">
        <f t="shared" ref="AN27" si="34">IF(P27=1,AJ27,IF(P27=2,AK27,IF(P27=3,AL27,IF(P27&gt;3,AM27,"ошибка"))))</f>
        <v>0.2</v>
      </c>
      <c r="AO27" s="52">
        <f>IF(M27&lt;=7,S27,IF(M27&lt;=14,S27+T27*(M27-7),IF(M27&lt;=31,U27+V27*(M27-14),(DATEDIF(K27,L27,"m")*W27)+W27/(EOMONTH(L27,0)-DATEVALUE(CONCATENATE("01.",MONTH(L27),".",YEAR(L27)))+1)*(DATEDIF(K27,L27,"md")+1))))</f>
        <v>80000</v>
      </c>
      <c r="AP27" s="22">
        <v>0.15</v>
      </c>
      <c r="AQ27" s="21">
        <v>0.3</v>
      </c>
      <c r="AR27" s="25">
        <f t="shared" ref="AR27" si="35">AO27-AO27*AQ27</f>
        <v>56000</v>
      </c>
      <c r="AT27" s="8">
        <f t="shared" ref="AT27" si="36">AR27/AU27*1000</f>
        <v>1529.9487467169849</v>
      </c>
      <c r="AU27" s="10">
        <f>39217/30*M27</f>
        <v>36602.533333333333</v>
      </c>
    </row>
    <row r="28" spans="1:47" ht="30">
      <c r="A28" s="15" t="s">
        <v>124</v>
      </c>
      <c r="B28" s="4">
        <v>4</v>
      </c>
      <c r="C28" s="40"/>
      <c r="D28" s="47"/>
      <c r="E28" s="49"/>
      <c r="F28" s="49"/>
      <c r="G28" s="64"/>
      <c r="H28" s="15" t="s">
        <v>121</v>
      </c>
      <c r="I28" s="50" t="s">
        <v>43</v>
      </c>
      <c r="J28" s="51" t="s">
        <v>44</v>
      </c>
      <c r="K28" s="57">
        <v>45689</v>
      </c>
      <c r="L28" s="60">
        <v>45716</v>
      </c>
      <c r="M28" s="48">
        <f>L28-K28+1</f>
        <v>28</v>
      </c>
      <c r="N28" s="11">
        <v>5</v>
      </c>
      <c r="O28" s="12">
        <v>10</v>
      </c>
      <c r="P28" s="4">
        <v>1</v>
      </c>
      <c r="Q28" s="59">
        <f>IF(N28=5,132*B28*P28,132*B28*P28/2)</f>
        <v>528</v>
      </c>
      <c r="R28" s="52">
        <f>(M28-6)*Q28</f>
        <v>11616</v>
      </c>
      <c r="S28" s="52">
        <f>B28*2500*AB28*AI28*P28</f>
        <v>10000</v>
      </c>
      <c r="T28" s="52">
        <f t="shared" ref="T28:T32" si="37">(U28-S28)/7</f>
        <v>1428.5714285714287</v>
      </c>
      <c r="U28" s="52">
        <f>B28*5000*AB28*AI28*P28</f>
        <v>20000</v>
      </c>
      <c r="V28" s="52">
        <f t="shared" ref="V28:V32" si="38">(W28-U28)/(EOMONTH(K28,0)-DATEVALUE(CONCATENATE("01.",MONTH(K28),".",YEAR(K28)))+1-14)</f>
        <v>1428.5714285714287</v>
      </c>
      <c r="W28" s="52">
        <f>B28*10000*AB28*AI28*P28</f>
        <v>40000</v>
      </c>
      <c r="X28" s="53">
        <v>1</v>
      </c>
      <c r="Y28" s="53">
        <f t="shared" si="31"/>
        <v>0.5</v>
      </c>
      <c r="Z28" s="53"/>
      <c r="AA28" s="53"/>
      <c r="AB28" s="53">
        <f t="shared" ref="AB28:AB32" si="39">IF(N28=5,X28,Y28)</f>
        <v>1</v>
      </c>
      <c r="AC28" s="53">
        <v>0.5</v>
      </c>
      <c r="AD28" s="53">
        <v>1</v>
      </c>
      <c r="AE28" s="53">
        <v>1.3</v>
      </c>
      <c r="AF28" s="53">
        <v>1.6</v>
      </c>
      <c r="AG28" s="53">
        <v>1.8</v>
      </c>
      <c r="AH28" s="53">
        <v>2</v>
      </c>
      <c r="AI28" s="53">
        <f t="shared" ref="AI28:AI32" si="40">IF(O28=5,AC28,IF(O28=10,AD28,IF(O28=15,AE28,IF(O28=20,AF28,IF(O28=25,AG28,IF(O28=30,AH28,"ошибка"))))))</f>
        <v>1</v>
      </c>
      <c r="AJ28" s="54">
        <v>0</v>
      </c>
      <c r="AK28" s="54">
        <v>0.2</v>
      </c>
      <c r="AL28" s="54">
        <v>0.33300000000000002</v>
      </c>
      <c r="AM28" s="54">
        <v>0.35</v>
      </c>
      <c r="AN28" s="53">
        <f t="shared" ref="AN28:AN32" si="41">IF(P28=1,AJ28,IF(P28=2,AK28,IF(P28=3,AL28,IF(P28&gt;3,AM28,"ошибка"))))</f>
        <v>0</v>
      </c>
      <c r="AO28" s="52">
        <f>IF(M28&lt;=7,S28,IF(M28&lt;=14,S28+T28*(M28-7),IF(M28&lt;=31,U28+V28*(M28-14),(DATEDIF(K28,L28,"m")*W28)+W28/(EOMONTH(L28,0)-DATEVALUE(CONCATENATE("01.",MONTH(L28),".",YEAR(L28)))+1)*(DATEDIF(K28,L28,"md")+1))))</f>
        <v>40000</v>
      </c>
      <c r="AP28" s="22">
        <v>0.15</v>
      </c>
      <c r="AQ28" s="21">
        <v>0.2</v>
      </c>
      <c r="AR28" s="25">
        <f t="shared" ref="AR28:AR32" si="42">AO28-AO28*AQ28</f>
        <v>32000</v>
      </c>
      <c r="AT28" s="8">
        <f t="shared" ref="AT28:AT32" si="43">AR28/AU28*1000</f>
        <v>874.25642669542003</v>
      </c>
      <c r="AU28" s="10">
        <f>39217/30*M28</f>
        <v>36602.533333333333</v>
      </c>
    </row>
    <row r="29" spans="1:47" ht="30">
      <c r="A29" s="63" t="s">
        <v>125</v>
      </c>
      <c r="B29" s="4">
        <v>1</v>
      </c>
      <c r="C29" s="40"/>
      <c r="D29" s="62" t="s">
        <v>92</v>
      </c>
      <c r="E29" s="62" t="s">
        <v>92</v>
      </c>
      <c r="F29" s="62" t="s">
        <v>92</v>
      </c>
      <c r="G29" s="62" t="s">
        <v>92</v>
      </c>
      <c r="H29" s="40" t="s">
        <v>121</v>
      </c>
      <c r="I29" s="9" t="s">
        <v>116</v>
      </c>
      <c r="J29" s="23" t="s">
        <v>44</v>
      </c>
      <c r="K29" s="57">
        <v>45689</v>
      </c>
      <c r="L29" s="60">
        <v>45716</v>
      </c>
      <c r="M29" s="3">
        <f t="shared" ref="M29:M32" si="44">L29-K29+1</f>
        <v>28</v>
      </c>
      <c r="N29" s="11">
        <v>5</v>
      </c>
      <c r="O29" s="12">
        <v>10</v>
      </c>
      <c r="P29" s="4">
        <v>1</v>
      </c>
      <c r="Q29" s="58">
        <f t="shared" ref="Q29:Q32" si="45">IF(N29=5,132*B29*P29,132*B29*P29/2)</f>
        <v>132</v>
      </c>
      <c r="R29" s="5">
        <f t="shared" ref="R29:R32" si="46">(M29-6)*Q29</f>
        <v>2904</v>
      </c>
      <c r="S29" s="5">
        <f t="shared" ref="S29:S32" si="47">2500*AB29*AI29*P29</f>
        <v>2500</v>
      </c>
      <c r="T29" s="5">
        <f t="shared" si="37"/>
        <v>357.14285714285717</v>
      </c>
      <c r="U29" s="5">
        <f t="shared" ref="U29:U32" si="48">5000*AB29*AI29*P29</f>
        <v>5000</v>
      </c>
      <c r="V29" s="5">
        <f t="shared" si="38"/>
        <v>357.14285714285717</v>
      </c>
      <c r="W29" s="5">
        <f t="shared" ref="W29:W32" si="49">10000*AB29*AI29*P29</f>
        <v>10000</v>
      </c>
      <c r="X29" s="13">
        <v>1</v>
      </c>
      <c r="Y29" s="13">
        <f t="shared" si="31"/>
        <v>0.5</v>
      </c>
      <c r="Z29" s="13"/>
      <c r="AA29" s="13"/>
      <c r="AB29" s="13">
        <f t="shared" si="39"/>
        <v>1</v>
      </c>
      <c r="AC29" s="13">
        <v>0.5</v>
      </c>
      <c r="AD29" s="13">
        <v>1</v>
      </c>
      <c r="AE29" s="13">
        <v>1.3</v>
      </c>
      <c r="AF29" s="13">
        <v>1.6</v>
      </c>
      <c r="AG29" s="13">
        <v>1.8</v>
      </c>
      <c r="AH29" s="13">
        <v>2</v>
      </c>
      <c r="AI29" s="13">
        <f t="shared" si="40"/>
        <v>1</v>
      </c>
      <c r="AJ29" s="17">
        <v>0</v>
      </c>
      <c r="AK29" s="17">
        <v>0.2</v>
      </c>
      <c r="AL29" s="17">
        <v>0.33300000000000002</v>
      </c>
      <c r="AM29" s="17">
        <v>0.35</v>
      </c>
      <c r="AN29" s="13">
        <f t="shared" si="41"/>
        <v>0</v>
      </c>
      <c r="AO29" s="5">
        <f t="shared" ref="AO29:AO32" si="50">IF(M29&lt;=7,S29,IF(M29&lt;=14,S29+T29*(M29-7),IF(M29&lt;=31,U29+V29*(M29-14),(DATEDIF(K29,L29,"m")*W29)+W29/(EOMONTH(L29,0)-DATEVALUE(CONCATENATE("01.",MONTH(L29),".",YEAR(L29)))+1)*(DATEDIF(K29,L29,"md")+1))))</f>
        <v>10000</v>
      </c>
      <c r="AP29" s="22">
        <v>0.15</v>
      </c>
      <c r="AQ29" s="65">
        <v>0</v>
      </c>
      <c r="AR29" s="25">
        <f t="shared" si="42"/>
        <v>10000</v>
      </c>
      <c r="AT29" s="8">
        <f t="shared" si="43"/>
        <v>3679.3563579277866</v>
      </c>
      <c r="AU29" s="10">
        <f t="shared" ref="AU29:AU32" si="51">2912/30*M29</f>
        <v>2717.8666666666668</v>
      </c>
    </row>
    <row r="30" spans="1:47" ht="30">
      <c r="A30" s="63" t="s">
        <v>126</v>
      </c>
      <c r="B30" s="4">
        <v>1</v>
      </c>
      <c r="C30" s="40"/>
      <c r="D30" s="62" t="s">
        <v>92</v>
      </c>
      <c r="E30" s="62" t="s">
        <v>92</v>
      </c>
      <c r="F30" s="62" t="s">
        <v>92</v>
      </c>
      <c r="G30" s="62" t="s">
        <v>92</v>
      </c>
      <c r="H30" s="40" t="s">
        <v>121</v>
      </c>
      <c r="I30" s="9" t="s">
        <v>116</v>
      </c>
      <c r="J30" s="23" t="s">
        <v>44</v>
      </c>
      <c r="K30" s="57">
        <v>45689</v>
      </c>
      <c r="L30" s="60">
        <v>45716</v>
      </c>
      <c r="M30" s="3">
        <f t="shared" si="44"/>
        <v>28</v>
      </c>
      <c r="N30" s="11">
        <v>5</v>
      </c>
      <c r="O30" s="12">
        <v>10</v>
      </c>
      <c r="P30" s="4">
        <v>1</v>
      </c>
      <c r="Q30" s="58">
        <f t="shared" si="45"/>
        <v>132</v>
      </c>
      <c r="R30" s="5">
        <f t="shared" si="46"/>
        <v>2904</v>
      </c>
      <c r="S30" s="5">
        <f t="shared" si="47"/>
        <v>2500</v>
      </c>
      <c r="T30" s="5">
        <f t="shared" si="37"/>
        <v>357.14285714285717</v>
      </c>
      <c r="U30" s="5">
        <f t="shared" si="48"/>
        <v>5000</v>
      </c>
      <c r="V30" s="5">
        <f t="shared" si="38"/>
        <v>357.14285714285717</v>
      </c>
      <c r="W30" s="5">
        <f t="shared" si="49"/>
        <v>10000</v>
      </c>
      <c r="X30" s="13">
        <v>1</v>
      </c>
      <c r="Y30" s="13">
        <f t="shared" si="31"/>
        <v>0.5</v>
      </c>
      <c r="Z30" s="13"/>
      <c r="AA30" s="13"/>
      <c r="AB30" s="13">
        <f t="shared" si="39"/>
        <v>1</v>
      </c>
      <c r="AC30" s="13">
        <v>0.5</v>
      </c>
      <c r="AD30" s="13">
        <v>1</v>
      </c>
      <c r="AE30" s="13">
        <v>1.3</v>
      </c>
      <c r="AF30" s="13">
        <v>1.6</v>
      </c>
      <c r="AG30" s="13">
        <v>1.8</v>
      </c>
      <c r="AH30" s="13">
        <v>2</v>
      </c>
      <c r="AI30" s="13">
        <f t="shared" si="40"/>
        <v>1</v>
      </c>
      <c r="AJ30" s="17">
        <v>0</v>
      </c>
      <c r="AK30" s="17">
        <v>0.2</v>
      </c>
      <c r="AL30" s="17">
        <v>0.33300000000000002</v>
      </c>
      <c r="AM30" s="17">
        <v>0.35</v>
      </c>
      <c r="AN30" s="13">
        <f t="shared" si="41"/>
        <v>0</v>
      </c>
      <c r="AO30" s="5">
        <f t="shared" si="50"/>
        <v>10000</v>
      </c>
      <c r="AP30" s="22">
        <v>0.15</v>
      </c>
      <c r="AQ30" s="65">
        <v>0</v>
      </c>
      <c r="AR30" s="25">
        <f t="shared" si="42"/>
        <v>10000</v>
      </c>
      <c r="AT30" s="8">
        <f t="shared" si="43"/>
        <v>3679.3563579277866</v>
      </c>
      <c r="AU30" s="10">
        <f t="shared" si="51"/>
        <v>2717.8666666666668</v>
      </c>
    </row>
    <row r="31" spans="1:47" ht="30">
      <c r="A31" s="63" t="s">
        <v>127</v>
      </c>
      <c r="B31" s="4">
        <v>1</v>
      </c>
      <c r="C31" s="40"/>
      <c r="D31" s="62" t="s">
        <v>92</v>
      </c>
      <c r="E31" s="62" t="s">
        <v>92</v>
      </c>
      <c r="F31" s="62" t="s">
        <v>92</v>
      </c>
      <c r="G31" s="62" t="s">
        <v>92</v>
      </c>
      <c r="H31" s="40" t="s">
        <v>121</v>
      </c>
      <c r="I31" s="9" t="s">
        <v>116</v>
      </c>
      <c r="J31" s="23" t="s">
        <v>44</v>
      </c>
      <c r="K31" s="57">
        <v>45689</v>
      </c>
      <c r="L31" s="60">
        <v>45716</v>
      </c>
      <c r="M31" s="3">
        <f t="shared" si="44"/>
        <v>28</v>
      </c>
      <c r="N31" s="11">
        <v>5</v>
      </c>
      <c r="O31" s="12">
        <v>10</v>
      </c>
      <c r="P31" s="4">
        <v>1</v>
      </c>
      <c r="Q31" s="58">
        <f t="shared" si="45"/>
        <v>132</v>
      </c>
      <c r="R31" s="5">
        <f t="shared" si="46"/>
        <v>2904</v>
      </c>
      <c r="S31" s="5">
        <f t="shared" si="47"/>
        <v>2500</v>
      </c>
      <c r="T31" s="5">
        <f t="shared" si="37"/>
        <v>357.14285714285717</v>
      </c>
      <c r="U31" s="5">
        <f t="shared" si="48"/>
        <v>5000</v>
      </c>
      <c r="V31" s="5">
        <f t="shared" si="38"/>
        <v>357.14285714285717</v>
      </c>
      <c r="W31" s="5">
        <f t="shared" si="49"/>
        <v>10000</v>
      </c>
      <c r="X31" s="13">
        <v>1</v>
      </c>
      <c r="Y31" s="13">
        <f t="shared" si="31"/>
        <v>0.5</v>
      </c>
      <c r="Z31" s="13"/>
      <c r="AA31" s="13"/>
      <c r="AB31" s="13">
        <f t="shared" si="39"/>
        <v>1</v>
      </c>
      <c r="AC31" s="13">
        <v>0.5</v>
      </c>
      <c r="AD31" s="13">
        <v>1</v>
      </c>
      <c r="AE31" s="13">
        <v>1.3</v>
      </c>
      <c r="AF31" s="13">
        <v>1.6</v>
      </c>
      <c r="AG31" s="13">
        <v>1.8</v>
      </c>
      <c r="AH31" s="13">
        <v>2</v>
      </c>
      <c r="AI31" s="13">
        <f t="shared" si="40"/>
        <v>1</v>
      </c>
      <c r="AJ31" s="17">
        <v>0</v>
      </c>
      <c r="AK31" s="17">
        <v>0.2</v>
      </c>
      <c r="AL31" s="17">
        <v>0.33300000000000002</v>
      </c>
      <c r="AM31" s="17">
        <v>0.35</v>
      </c>
      <c r="AN31" s="13">
        <f t="shared" si="41"/>
        <v>0</v>
      </c>
      <c r="AO31" s="5">
        <f t="shared" si="50"/>
        <v>10000</v>
      </c>
      <c r="AP31" s="22">
        <v>0.15</v>
      </c>
      <c r="AQ31" s="65">
        <v>0</v>
      </c>
      <c r="AR31" s="25">
        <f t="shared" si="42"/>
        <v>10000</v>
      </c>
      <c r="AT31" s="8">
        <f t="shared" si="43"/>
        <v>3679.3563579277866</v>
      </c>
      <c r="AU31" s="10">
        <f t="shared" si="51"/>
        <v>2717.8666666666668</v>
      </c>
    </row>
    <row r="32" spans="1:47" ht="30">
      <c r="A32" s="63" t="s">
        <v>128</v>
      </c>
      <c r="B32" s="4">
        <v>1</v>
      </c>
      <c r="C32" s="40"/>
      <c r="D32" s="62" t="s">
        <v>92</v>
      </c>
      <c r="E32" s="62" t="s">
        <v>92</v>
      </c>
      <c r="F32" s="62" t="s">
        <v>92</v>
      </c>
      <c r="G32" s="62" t="s">
        <v>92</v>
      </c>
      <c r="H32" s="40" t="s">
        <v>121</v>
      </c>
      <c r="I32" s="9" t="s">
        <v>116</v>
      </c>
      <c r="J32" s="23" t="s">
        <v>44</v>
      </c>
      <c r="K32" s="57">
        <v>45689</v>
      </c>
      <c r="L32" s="60">
        <v>45716</v>
      </c>
      <c r="M32" s="3">
        <f t="shared" si="44"/>
        <v>28</v>
      </c>
      <c r="N32" s="11">
        <v>5</v>
      </c>
      <c r="O32" s="12">
        <v>10</v>
      </c>
      <c r="P32" s="4">
        <v>1</v>
      </c>
      <c r="Q32" s="58">
        <f t="shared" si="45"/>
        <v>132</v>
      </c>
      <c r="R32" s="5">
        <f t="shared" si="46"/>
        <v>2904</v>
      </c>
      <c r="S32" s="5">
        <f t="shared" si="47"/>
        <v>2500</v>
      </c>
      <c r="T32" s="5">
        <f t="shared" si="37"/>
        <v>357.14285714285717</v>
      </c>
      <c r="U32" s="5">
        <f t="shared" si="48"/>
        <v>5000</v>
      </c>
      <c r="V32" s="5">
        <f t="shared" si="38"/>
        <v>357.14285714285717</v>
      </c>
      <c r="W32" s="5">
        <f t="shared" si="49"/>
        <v>10000</v>
      </c>
      <c r="X32" s="13">
        <v>1</v>
      </c>
      <c r="Y32" s="13">
        <f t="shared" si="31"/>
        <v>0.5</v>
      </c>
      <c r="Z32" s="13"/>
      <c r="AA32" s="13"/>
      <c r="AB32" s="13">
        <f t="shared" si="39"/>
        <v>1</v>
      </c>
      <c r="AC32" s="13">
        <v>0.5</v>
      </c>
      <c r="AD32" s="13">
        <v>1</v>
      </c>
      <c r="AE32" s="13">
        <v>1.3</v>
      </c>
      <c r="AF32" s="13">
        <v>1.6</v>
      </c>
      <c r="AG32" s="13">
        <v>1.8</v>
      </c>
      <c r="AH32" s="13">
        <v>2</v>
      </c>
      <c r="AI32" s="13">
        <f t="shared" si="40"/>
        <v>1</v>
      </c>
      <c r="AJ32" s="17">
        <v>0</v>
      </c>
      <c r="AK32" s="17">
        <v>0.2</v>
      </c>
      <c r="AL32" s="17">
        <v>0.33300000000000002</v>
      </c>
      <c r="AM32" s="17">
        <v>0.35</v>
      </c>
      <c r="AN32" s="13">
        <f t="shared" si="41"/>
        <v>0</v>
      </c>
      <c r="AO32" s="5">
        <f t="shared" si="50"/>
        <v>10000</v>
      </c>
      <c r="AP32" s="22">
        <v>0.15</v>
      </c>
      <c r="AQ32" s="65">
        <v>0</v>
      </c>
      <c r="AR32" s="25">
        <f t="shared" si="42"/>
        <v>10000</v>
      </c>
      <c r="AT32" s="8">
        <f t="shared" si="43"/>
        <v>3679.3563579277866</v>
      </c>
      <c r="AU32" s="10">
        <f t="shared" si="51"/>
        <v>2717.8666666666668</v>
      </c>
    </row>
  </sheetData>
  <sheetProtection formatCells="0" formatRows="0" deleteRows="0"/>
  <conditionalFormatting sqref="M13:M24">
    <cfRule type="cellIs" dxfId="3" priority="4" operator="lessThan">
      <formula>7</formula>
    </cfRule>
  </conditionalFormatting>
  <conditionalFormatting sqref="M27">
    <cfRule type="cellIs" dxfId="2" priority="3" operator="lessThan">
      <formula>7</formula>
    </cfRule>
  </conditionalFormatting>
  <conditionalFormatting sqref="M28">
    <cfRule type="cellIs" dxfId="1" priority="2" operator="lessThan">
      <formula>7</formula>
    </cfRule>
  </conditionalFormatting>
  <conditionalFormatting sqref="M29:M32">
    <cfRule type="cellIs" dxfId="0" priority="1" operator="lessThan">
      <formula>7</formula>
    </cfRule>
  </conditionalFormatting>
  <dataValidations count="3">
    <dataValidation type="list" allowBlank="1" showInputMessage="1" showErrorMessage="1" promptTitle="Сколько раз ролик выходит в блок" prompt="Доступны варианты от 1 до 10._x000a_Весь эфир = ролик 30 сек * 10 выходов = 300 сек (5 минут)" sqref="P13:P24 P27:P32">
      <formula1>$R$1:$R$10</formula1>
    </dataValidation>
    <dataValidation type="list" allowBlank="1" showInputMessage="1" showErrorMessage="1" promptTitle="Укажите длительность ролика" prompt="Доступны варианты - 5, 10, 15, 20, 25, 30 секунд._x000a_БОльший хрон считается через количество выходов в блоке._x000a_Коэффициенты _x000a_5 секу - 0,5._x000a_10 сек - 1._x000a_15 сек - 1,3._x000a_20 сек - 1,6_x000a_25 сек - 1,8_x000a_30 сек - 2" sqref="O13:O24 O27:O32">
      <formula1>$P$4:$P$9</formula1>
    </dataValidation>
    <dataValidation type="list" allowBlank="1" showInputMessage="1" showErrorMessage="1" promptTitle="Выберете размер рекламного блока" prompt="Доступные варианты 5 или 10 минут._x000a__x000a_Коэффициент блока 5 минут - 1._x000a_Коэффициент блока 10 минут - 0,6." sqref="N13:N24 N27:N32">
      <formula1>$O$1:$O$2</formula1>
    </dataValidation>
  </dataValidations>
  <hyperlinks>
    <hyperlink ref="A9" r:id="rId1"/>
    <hyperlink ref="A10" r:id="rId2"/>
  </hyperlinks>
  <printOptions horizontalCentered="1" verticalCentered="1"/>
  <pageMargins left="0" right="0" top="0" bottom="0" header="0" footer="0"/>
  <pageSetup paperSize="9" scale="41" fitToHeight="2" orientation="landscape" horizontalDpi="180" verticalDpi="180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Медиаплан_Нижний_Новгород</vt:lpstr>
      <vt:lpstr>МФЦ_г. Владимир</vt:lpstr>
      <vt:lpstr>МФЦ_г. Киров</vt:lpstr>
      <vt:lpstr>Медиаплан_Нижний_Новгород!Область_печати</vt:lpstr>
      <vt:lpstr>'МФЦ_г. Владимир'!Область_печати</vt:lpstr>
      <vt:lpstr>'МФЦ_г. Киров'!Область_печати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2025-02-27T05:18:35Z</dcterms:modified>
</cp:coreProperties>
</file>